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worksheets/sheet18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260" yWindow="-80" windowWidth="21220" windowHeight="13700" tabRatio="702" firstSheet="1" activeTab="1"/>
  </bookViews>
  <sheets>
    <sheet name="Sheet1" sheetId="1" r:id="rId1"/>
    <sheet name="marchés" sheetId="17" r:id="rId2"/>
    <sheet name="cachet" sheetId="6" r:id="rId3"/>
    <sheet name="ROA" sheetId="8" r:id="rId4"/>
    <sheet name="Tetart" sheetId="9" r:id="rId5"/>
    <sheet name="LHEA" sheetId="10" r:id="rId6"/>
    <sheet name="tack" sheetId="11" r:id="rId7"/>
    <sheet name="Miels" sheetId="21" r:id="rId8"/>
    <sheet name="sirops" sheetId="18" r:id="rId9"/>
    <sheet name="infuseurs" sheetId="22" r:id="rId10"/>
    <sheet name="thes" sheetId="19" r:id="rId11"/>
    <sheet name="epices" sheetId="12" r:id="rId12"/>
    <sheet name="Aimants" sheetId="16" r:id="rId13"/>
    <sheet name="ainesse" sheetId="13" r:id="rId14"/>
    <sheet name="Cretolive" sheetId="14" r:id="rId15"/>
    <sheet name="Croutet" sheetId="15" r:id="rId16"/>
    <sheet name="Bart VD" sheetId="3" r:id="rId17"/>
    <sheet name="Hilary SdT" sheetId="20" r:id="rId18"/>
  </sheets>
  <externalReferences>
    <externalReference r:id="rId19"/>
    <externalReference r:id="rId20"/>
  </externalReferenc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3" i="16"/>
  <c r="F36"/>
  <c r="C36"/>
  <c r="G34"/>
  <c r="F34"/>
  <c r="G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D3"/>
  <c r="C3"/>
  <c r="L38" i="13"/>
  <c r="K38"/>
  <c r="J38"/>
  <c r="I38"/>
  <c r="H38"/>
  <c r="G38"/>
  <c r="F38"/>
  <c r="E38"/>
  <c r="D38"/>
  <c r="C38"/>
  <c r="L36"/>
  <c r="K36"/>
  <c r="J36"/>
  <c r="I36"/>
  <c r="H36"/>
  <c r="G36"/>
  <c r="F36"/>
  <c r="E36"/>
  <c r="D36"/>
  <c r="C36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K3"/>
  <c r="J3"/>
  <c r="I3"/>
  <c r="H3"/>
  <c r="G3"/>
  <c r="F3"/>
  <c r="E3"/>
  <c r="D3"/>
  <c r="C3"/>
  <c r="H84" i="3"/>
  <c r="H83"/>
  <c r="F83"/>
  <c r="H81"/>
  <c r="G81"/>
  <c r="F81"/>
  <c r="E81"/>
  <c r="H78"/>
  <c r="G78"/>
  <c r="F78"/>
  <c r="E78"/>
  <c r="F77"/>
  <c r="E77"/>
  <c r="F74"/>
  <c r="E74"/>
  <c r="B74"/>
  <c r="F68"/>
  <c r="E68"/>
  <c r="B68"/>
  <c r="F67"/>
  <c r="E67"/>
  <c r="B67"/>
  <c r="F65"/>
  <c r="E65"/>
  <c r="B65"/>
  <c r="F63"/>
  <c r="E63"/>
  <c r="B63"/>
  <c r="F62"/>
  <c r="E62"/>
  <c r="B62"/>
  <c r="F61"/>
  <c r="E61"/>
  <c r="B61"/>
  <c r="F60"/>
  <c r="E60"/>
  <c r="B60"/>
  <c r="F59"/>
  <c r="E59"/>
  <c r="B59"/>
  <c r="F58"/>
  <c r="E58"/>
  <c r="B58"/>
  <c r="F57"/>
  <c r="E57"/>
  <c r="B57"/>
  <c r="F56"/>
  <c r="E56"/>
  <c r="B56"/>
  <c r="F55"/>
  <c r="E55"/>
  <c r="B55"/>
  <c r="F54"/>
  <c r="E54"/>
  <c r="B54"/>
  <c r="F53"/>
  <c r="E53"/>
  <c r="B53"/>
  <c r="F52"/>
  <c r="E52"/>
  <c r="B52"/>
  <c r="F50"/>
  <c r="E50"/>
  <c r="B50"/>
  <c r="F49"/>
  <c r="E49"/>
  <c r="B49"/>
  <c r="F48"/>
  <c r="E48"/>
  <c r="B48"/>
  <c r="F47"/>
  <c r="E47"/>
  <c r="B47"/>
  <c r="F46"/>
  <c r="E46"/>
  <c r="B46"/>
  <c r="F45"/>
  <c r="E45"/>
  <c r="B45"/>
  <c r="F44"/>
  <c r="E44"/>
  <c r="B44"/>
  <c r="F43"/>
  <c r="E43"/>
  <c r="B43"/>
  <c r="F42"/>
  <c r="E42"/>
  <c r="B42"/>
  <c r="F41"/>
  <c r="E41"/>
  <c r="B41"/>
  <c r="F40"/>
  <c r="E40"/>
  <c r="B40"/>
  <c r="F39"/>
  <c r="E39"/>
  <c r="B39"/>
  <c r="F38"/>
  <c r="E38"/>
  <c r="B38"/>
  <c r="F37"/>
  <c r="E37"/>
  <c r="B37"/>
  <c r="F36"/>
  <c r="E36"/>
  <c r="B36"/>
  <c r="F35"/>
  <c r="E35"/>
  <c r="B35"/>
  <c r="F32"/>
  <c r="E32"/>
  <c r="B32"/>
  <c r="F31"/>
  <c r="E31"/>
  <c r="B31"/>
  <c r="F28"/>
  <c r="E28"/>
  <c r="B28"/>
  <c r="F27"/>
  <c r="E27"/>
  <c r="B27"/>
  <c r="H23"/>
  <c r="G23"/>
  <c r="F23"/>
  <c r="E23"/>
  <c r="B23"/>
  <c r="F22"/>
  <c r="E22"/>
  <c r="B22"/>
  <c r="F21"/>
  <c r="E21"/>
  <c r="B21"/>
  <c r="F19"/>
  <c r="E19"/>
  <c r="B19"/>
  <c r="F18"/>
  <c r="E18"/>
  <c r="B18"/>
  <c r="F17"/>
  <c r="E17"/>
  <c r="B17"/>
  <c r="F15"/>
  <c r="E15"/>
  <c r="B15"/>
  <c r="F14"/>
  <c r="E14"/>
  <c r="B14"/>
  <c r="F13"/>
  <c r="E13"/>
  <c r="B13"/>
  <c r="F12"/>
  <c r="E12"/>
  <c r="B12"/>
  <c r="F11"/>
  <c r="E11"/>
  <c r="B11"/>
  <c r="F10"/>
  <c r="E10"/>
  <c r="B10"/>
  <c r="F8"/>
  <c r="E8"/>
  <c r="B8"/>
  <c r="F7"/>
  <c r="E7"/>
  <c r="B7"/>
  <c r="F6"/>
  <c r="E6"/>
  <c r="B6"/>
  <c r="F5"/>
  <c r="E5"/>
  <c r="B5"/>
  <c r="A4"/>
  <c r="L36" i="6"/>
  <c r="L38"/>
  <c r="I36"/>
  <c r="I38"/>
  <c r="H36"/>
  <c r="H38"/>
  <c r="F36"/>
  <c r="F38"/>
  <c r="D36"/>
  <c r="D38"/>
  <c r="E36"/>
  <c r="E38"/>
  <c r="N36"/>
  <c r="N38"/>
  <c r="M36"/>
  <c r="M38"/>
  <c r="C36"/>
  <c r="C38"/>
  <c r="P36"/>
  <c r="P38"/>
  <c r="J36"/>
  <c r="J38"/>
  <c r="S38"/>
  <c r="R38"/>
  <c r="Q38"/>
  <c r="O38"/>
  <c r="K38"/>
  <c r="G38"/>
  <c r="U33"/>
  <c r="U30"/>
  <c r="U36"/>
  <c r="T33"/>
  <c r="T30"/>
  <c r="T36"/>
  <c r="U37"/>
  <c r="R36"/>
  <c r="Q36"/>
  <c r="O36"/>
  <c r="K36"/>
  <c r="G36"/>
  <c r="V34"/>
  <c r="U34"/>
  <c r="T34"/>
  <c r="S34"/>
  <c r="V33"/>
  <c r="S33"/>
  <c r="V32"/>
  <c r="U32"/>
  <c r="T32"/>
  <c r="S32"/>
  <c r="V31"/>
  <c r="U31"/>
  <c r="T31"/>
  <c r="S31"/>
  <c r="V30"/>
  <c r="S30"/>
  <c r="V29"/>
  <c r="U29"/>
  <c r="T29"/>
  <c r="S29"/>
  <c r="V28"/>
  <c r="U28"/>
  <c r="T28"/>
  <c r="S28"/>
  <c r="V27"/>
  <c r="U27"/>
  <c r="T27"/>
  <c r="S27"/>
  <c r="V26"/>
  <c r="U26"/>
  <c r="T26"/>
  <c r="S26"/>
  <c r="V25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R3"/>
  <c r="Q3"/>
  <c r="P3"/>
  <c r="O3"/>
  <c r="N3"/>
  <c r="M3"/>
  <c r="L3"/>
  <c r="K3"/>
  <c r="J3"/>
  <c r="I3"/>
  <c r="H3"/>
  <c r="G3"/>
  <c r="F3"/>
  <c r="E3"/>
  <c r="D3"/>
  <c r="C3"/>
  <c r="C38" i="14"/>
  <c r="E36"/>
  <c r="C36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C3"/>
  <c r="N38" i="15"/>
  <c r="M38"/>
  <c r="L38"/>
  <c r="K38"/>
  <c r="J38"/>
  <c r="I38"/>
  <c r="H38"/>
  <c r="G38"/>
  <c r="F38"/>
  <c r="E38"/>
  <c r="D38"/>
  <c r="C38"/>
  <c r="P36"/>
  <c r="N36"/>
  <c r="M36"/>
  <c r="L36"/>
  <c r="K36"/>
  <c r="J36"/>
  <c r="I36"/>
  <c r="H36"/>
  <c r="G36"/>
  <c r="F36"/>
  <c r="E36"/>
  <c r="D36"/>
  <c r="C36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S33" i="12"/>
  <c r="S36"/>
  <c r="R33"/>
  <c r="R36"/>
  <c r="S38"/>
  <c r="P38"/>
  <c r="O38"/>
  <c r="N38"/>
  <c r="M36"/>
  <c r="M38"/>
  <c r="L38"/>
  <c r="K38"/>
  <c r="J38"/>
  <c r="I36"/>
  <c r="I38"/>
  <c r="H38"/>
  <c r="G38"/>
  <c r="F38"/>
  <c r="E38"/>
  <c r="D38"/>
  <c r="C38"/>
  <c r="P36"/>
  <c r="O36"/>
  <c r="N36"/>
  <c r="L36"/>
  <c r="K36"/>
  <c r="J36"/>
  <c r="H36"/>
  <c r="G36"/>
  <c r="F36"/>
  <c r="E36"/>
  <c r="D36"/>
  <c r="C36"/>
  <c r="T35"/>
  <c r="S35"/>
  <c r="T34"/>
  <c r="S34"/>
  <c r="R34"/>
  <c r="T33"/>
  <c r="T32"/>
  <c r="S32"/>
  <c r="R32"/>
  <c r="T31"/>
  <c r="S31"/>
  <c r="R31"/>
  <c r="T30"/>
  <c r="S30"/>
  <c r="R30"/>
  <c r="T29"/>
  <c r="S29"/>
  <c r="R29"/>
  <c r="T28"/>
  <c r="S28"/>
  <c r="R28"/>
  <c r="T27"/>
  <c r="S27"/>
  <c r="R27"/>
  <c r="T26"/>
  <c r="S26"/>
  <c r="R26"/>
  <c r="T25"/>
  <c r="S25"/>
  <c r="R25"/>
  <c r="T24"/>
  <c r="S24"/>
  <c r="R24"/>
  <c r="T23"/>
  <c r="S23"/>
  <c r="R23"/>
  <c r="T22"/>
  <c r="S22"/>
  <c r="R22"/>
  <c r="T21"/>
  <c r="S21"/>
  <c r="R21"/>
  <c r="T20"/>
  <c r="S20"/>
  <c r="R20"/>
  <c r="T19"/>
  <c r="S19"/>
  <c r="R19"/>
  <c r="T18"/>
  <c r="S18"/>
  <c r="R18"/>
  <c r="T17"/>
  <c r="S17"/>
  <c r="R17"/>
  <c r="T16"/>
  <c r="S16"/>
  <c r="R16"/>
  <c r="T15"/>
  <c r="S15"/>
  <c r="R15"/>
  <c r="T14"/>
  <c r="S14"/>
  <c r="R14"/>
  <c r="T13"/>
  <c r="S13"/>
  <c r="R13"/>
  <c r="T12"/>
  <c r="S12"/>
  <c r="R12"/>
  <c r="T11"/>
  <c r="S11"/>
  <c r="R11"/>
  <c r="T10"/>
  <c r="S10"/>
  <c r="R10"/>
  <c r="T9"/>
  <c r="S9"/>
  <c r="R9"/>
  <c r="T8"/>
  <c r="S8"/>
  <c r="R8"/>
  <c r="T7"/>
  <c r="S7"/>
  <c r="R7"/>
  <c r="T6"/>
  <c r="S6"/>
  <c r="R6"/>
  <c r="T5"/>
  <c r="S5"/>
  <c r="R5"/>
  <c r="P3"/>
  <c r="O3"/>
  <c r="N3"/>
  <c r="M3"/>
  <c r="L3"/>
  <c r="K3"/>
  <c r="J3"/>
  <c r="I3"/>
  <c r="H3"/>
  <c r="G3"/>
  <c r="F3"/>
  <c r="E3"/>
  <c r="D3"/>
  <c r="C3"/>
  <c r="F79" i="20"/>
  <c r="F77"/>
  <c r="E77"/>
  <c r="F74"/>
  <c r="E74"/>
  <c r="B74"/>
  <c r="F70"/>
  <c r="E70"/>
  <c r="B70"/>
  <c r="F68"/>
  <c r="E68"/>
  <c r="B68"/>
  <c r="F67"/>
  <c r="E67"/>
  <c r="B67"/>
  <c r="F66"/>
  <c r="E66"/>
  <c r="B66"/>
  <c r="F65"/>
  <c r="E65"/>
  <c r="B65"/>
  <c r="F64"/>
  <c r="E64"/>
  <c r="B64"/>
  <c r="F63"/>
  <c r="E63"/>
  <c r="B63"/>
  <c r="F62"/>
  <c r="E62"/>
  <c r="B62"/>
  <c r="F61"/>
  <c r="E61"/>
  <c r="B61"/>
  <c r="F60"/>
  <c r="E60"/>
  <c r="B60"/>
  <c r="F59"/>
  <c r="E59"/>
  <c r="B59"/>
  <c r="F58"/>
  <c r="E58"/>
  <c r="B58"/>
  <c r="F57"/>
  <c r="E57"/>
  <c r="B57"/>
  <c r="F55"/>
  <c r="E55"/>
  <c r="B55"/>
  <c r="F54"/>
  <c r="E54"/>
  <c r="B54"/>
  <c r="F53"/>
  <c r="E53"/>
  <c r="B53"/>
  <c r="F52"/>
  <c r="E52"/>
  <c r="B52"/>
  <c r="F51"/>
  <c r="E51"/>
  <c r="B51"/>
  <c r="F50"/>
  <c r="E50"/>
  <c r="B50"/>
  <c r="F49"/>
  <c r="E49"/>
  <c r="B49"/>
  <c r="F48"/>
  <c r="E48"/>
  <c r="B48"/>
  <c r="F47"/>
  <c r="E47"/>
  <c r="B47"/>
  <c r="F46"/>
  <c r="E46"/>
  <c r="B46"/>
  <c r="F45"/>
  <c r="E45"/>
  <c r="B45"/>
  <c r="F44"/>
  <c r="E44"/>
  <c r="B44"/>
  <c r="F43"/>
  <c r="E43"/>
  <c r="B43"/>
  <c r="F42"/>
  <c r="E42"/>
  <c r="B42"/>
  <c r="F41"/>
  <c r="E41"/>
  <c r="B41"/>
  <c r="F40"/>
  <c r="E40"/>
  <c r="B40"/>
  <c r="B38"/>
  <c r="B37"/>
  <c r="B36"/>
  <c r="B35"/>
  <c r="F32"/>
  <c r="E32"/>
  <c r="B32"/>
  <c r="F31"/>
  <c r="E31"/>
  <c r="B31"/>
  <c r="F28"/>
  <c r="E28"/>
  <c r="B28"/>
  <c r="F27"/>
  <c r="E27"/>
  <c r="B27"/>
  <c r="F23"/>
  <c r="E23"/>
  <c r="B23"/>
  <c r="F22"/>
  <c r="E22"/>
  <c r="B22"/>
  <c r="F21"/>
  <c r="E21"/>
  <c r="B21"/>
  <c r="F20"/>
  <c r="E20"/>
  <c r="B20"/>
  <c r="F19"/>
  <c r="E19"/>
  <c r="B19"/>
  <c r="F18"/>
  <c r="E18"/>
  <c r="B18"/>
  <c r="F17"/>
  <c r="E17"/>
  <c r="B17"/>
  <c r="F15"/>
  <c r="E15"/>
  <c r="B15"/>
  <c r="F14"/>
  <c r="E14"/>
  <c r="B14"/>
  <c r="F13"/>
  <c r="E13"/>
  <c r="B13"/>
  <c r="F12"/>
  <c r="E12"/>
  <c r="B12"/>
  <c r="F11"/>
  <c r="E11"/>
  <c r="B11"/>
  <c r="F10"/>
  <c r="E10"/>
  <c r="B10"/>
  <c r="F8"/>
  <c r="E8"/>
  <c r="B8"/>
  <c r="F7"/>
  <c r="E7"/>
  <c r="B7"/>
  <c r="F6"/>
  <c r="E6"/>
  <c r="B6"/>
  <c r="F5"/>
  <c r="E5"/>
  <c r="B5"/>
  <c r="A4"/>
  <c r="K33" i="22"/>
  <c r="K36"/>
  <c r="J33"/>
  <c r="J36"/>
  <c r="K37"/>
  <c r="H36"/>
  <c r="G36"/>
  <c r="F36"/>
  <c r="E36"/>
  <c r="D36"/>
  <c r="C36"/>
  <c r="K34"/>
  <c r="J34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F3"/>
  <c r="E3"/>
  <c r="D3"/>
  <c r="C3"/>
  <c r="F2"/>
  <c r="E2"/>
  <c r="D2"/>
  <c r="C2"/>
  <c r="C38" i="10"/>
  <c r="F37"/>
  <c r="F36"/>
  <c r="E36"/>
  <c r="C36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C3"/>
  <c r="E37" i="17"/>
  <c r="D37"/>
  <c r="I34"/>
  <c r="H34"/>
  <c r="G34"/>
  <c r="F34"/>
  <c r="E34"/>
  <c r="I33"/>
  <c r="H33"/>
  <c r="G33"/>
  <c r="F33"/>
  <c r="E33"/>
  <c r="E32"/>
  <c r="I31"/>
  <c r="H31"/>
  <c r="G31"/>
  <c r="F31"/>
  <c r="E31"/>
  <c r="I30"/>
  <c r="H30"/>
  <c r="G30"/>
  <c r="F30"/>
  <c r="E30"/>
  <c r="E29"/>
  <c r="I28"/>
  <c r="H28"/>
  <c r="G28"/>
  <c r="F28"/>
  <c r="E28"/>
  <c r="I27"/>
  <c r="H27"/>
  <c r="G27"/>
  <c r="F27"/>
  <c r="E27"/>
  <c r="I26"/>
  <c r="H26"/>
  <c r="G26"/>
  <c r="F26"/>
  <c r="E26"/>
  <c r="I25"/>
  <c r="H25"/>
  <c r="G25"/>
  <c r="F25"/>
  <c r="E25"/>
  <c r="I24"/>
  <c r="H24"/>
  <c r="G24"/>
  <c r="F24"/>
  <c r="E24"/>
  <c r="I23"/>
  <c r="H23"/>
  <c r="G23"/>
  <c r="F23"/>
  <c r="E23"/>
  <c r="I22"/>
  <c r="H22"/>
  <c r="G22"/>
  <c r="F22"/>
  <c r="E22"/>
  <c r="I21"/>
  <c r="H21"/>
  <c r="G21"/>
  <c r="F21"/>
  <c r="E21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H10"/>
  <c r="G10"/>
  <c r="F10"/>
  <c r="E10"/>
  <c r="H9"/>
  <c r="G9"/>
  <c r="F9"/>
  <c r="E9"/>
  <c r="H8"/>
  <c r="G8"/>
  <c r="F8"/>
  <c r="E8"/>
  <c r="H7"/>
  <c r="G7"/>
  <c r="F7"/>
  <c r="E7"/>
  <c r="H6"/>
  <c r="G6"/>
  <c r="F6"/>
  <c r="E6"/>
  <c r="I5"/>
  <c r="H5"/>
  <c r="G5"/>
  <c r="F5"/>
  <c r="E5"/>
  <c r="I4"/>
  <c r="H4"/>
  <c r="G4"/>
  <c r="F4"/>
  <c r="E4"/>
  <c r="G32"/>
  <c r="H32"/>
  <c r="F32"/>
  <c r="I32"/>
  <c r="F29"/>
  <c r="F37"/>
  <c r="F38"/>
  <c r="G29"/>
  <c r="G37"/>
  <c r="G38"/>
  <c r="H29"/>
  <c r="H37"/>
  <c r="H38"/>
  <c r="G39"/>
  <c r="H39"/>
  <c r="I29"/>
  <c r="H38" i="21"/>
  <c r="G38"/>
  <c r="F38"/>
  <c r="E38"/>
  <c r="D38"/>
  <c r="C38"/>
  <c r="K37"/>
  <c r="K36"/>
  <c r="J36"/>
  <c r="H36"/>
  <c r="G36"/>
  <c r="F36"/>
  <c r="E36"/>
  <c r="D36"/>
  <c r="C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H3"/>
  <c r="G3"/>
  <c r="F3"/>
  <c r="E3"/>
  <c r="D3"/>
  <c r="C3"/>
  <c r="G2"/>
  <c r="F2"/>
  <c r="E2"/>
  <c r="D2"/>
  <c r="C2"/>
  <c r="O37" i="8"/>
  <c r="O36"/>
  <c r="N36"/>
  <c r="L36"/>
  <c r="K36"/>
  <c r="J36"/>
  <c r="I36"/>
  <c r="H36"/>
  <c r="G36"/>
  <c r="F36"/>
  <c r="E36"/>
  <c r="D36"/>
  <c r="C36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L3"/>
  <c r="K3"/>
  <c r="J3"/>
  <c r="I3"/>
  <c r="H3"/>
  <c r="G3"/>
  <c r="F3"/>
  <c r="E3"/>
  <c r="D3"/>
  <c r="C3"/>
  <c r="E14" i="1"/>
  <c r="F14"/>
  <c r="E11"/>
  <c r="F11"/>
  <c r="E10"/>
  <c r="F10"/>
  <c r="E7"/>
  <c r="F7"/>
  <c r="E5"/>
  <c r="F5"/>
  <c r="E6"/>
  <c r="F6"/>
  <c r="E17"/>
  <c r="F17"/>
  <c r="E16"/>
  <c r="F16"/>
  <c r="E4"/>
  <c r="F4"/>
  <c r="E115"/>
  <c r="F115"/>
  <c r="F161"/>
  <c r="E161"/>
  <c r="C161"/>
  <c r="F160"/>
  <c r="E160"/>
  <c r="C160"/>
  <c r="F159"/>
  <c r="E159"/>
  <c r="C159"/>
  <c r="F158"/>
  <c r="E158"/>
  <c r="C158"/>
  <c r="F157"/>
  <c r="E157"/>
  <c r="C157"/>
  <c r="F156"/>
  <c r="E156"/>
  <c r="C156"/>
  <c r="F153"/>
  <c r="C153"/>
  <c r="F149"/>
  <c r="F148"/>
  <c r="F147"/>
  <c r="F146"/>
  <c r="F145"/>
  <c r="F144"/>
  <c r="F143"/>
  <c r="F142"/>
  <c r="F141"/>
  <c r="F140"/>
  <c r="F139"/>
  <c r="F138"/>
  <c r="F134"/>
  <c r="E134"/>
  <c r="D134"/>
  <c r="C134"/>
  <c r="F131"/>
  <c r="E131"/>
  <c r="F130"/>
  <c r="E130"/>
  <c r="C130"/>
  <c r="F129"/>
  <c r="E129"/>
  <c r="C129"/>
  <c r="F128"/>
  <c r="E128"/>
  <c r="C128"/>
  <c r="F127"/>
  <c r="E127"/>
  <c r="C127"/>
  <c r="F126"/>
  <c r="E126"/>
  <c r="C126"/>
  <c r="F125"/>
  <c r="E125"/>
  <c r="C125"/>
  <c r="F124"/>
  <c r="E124"/>
  <c r="C124"/>
  <c r="F123"/>
  <c r="E123"/>
  <c r="C123"/>
  <c r="F122"/>
  <c r="E122"/>
  <c r="C122"/>
  <c r="I118"/>
  <c r="H118"/>
  <c r="F118"/>
  <c r="E118"/>
  <c r="C118"/>
  <c r="H117"/>
  <c r="F117"/>
  <c r="E117"/>
  <c r="C117"/>
  <c r="H116"/>
  <c r="F116"/>
  <c r="E116"/>
  <c r="C116"/>
  <c r="H115"/>
  <c r="C115"/>
  <c r="F113"/>
  <c r="F112"/>
  <c r="F110"/>
  <c r="E110"/>
  <c r="D110"/>
  <c r="C110"/>
  <c r="B110"/>
  <c r="F108"/>
  <c r="E108"/>
  <c r="D108"/>
  <c r="C108"/>
  <c r="B108"/>
  <c r="F107"/>
  <c r="E107"/>
  <c r="D107"/>
  <c r="C107"/>
  <c r="B107"/>
  <c r="E106"/>
  <c r="F106"/>
  <c r="D106"/>
  <c r="C106"/>
  <c r="B106"/>
  <c r="F105"/>
  <c r="E105"/>
  <c r="D105"/>
  <c r="C105"/>
  <c r="B105"/>
  <c r="F104"/>
  <c r="E104"/>
  <c r="D104"/>
  <c r="C104"/>
  <c r="B104"/>
  <c r="F103"/>
  <c r="E103"/>
  <c r="D103"/>
  <c r="C103"/>
  <c r="B103"/>
  <c r="E102"/>
  <c r="F102"/>
  <c r="D102"/>
  <c r="C102"/>
  <c r="B102"/>
  <c r="F101"/>
  <c r="E101"/>
  <c r="D101"/>
  <c r="C101"/>
  <c r="B101"/>
  <c r="F100"/>
  <c r="E100"/>
  <c r="D100"/>
  <c r="C100"/>
  <c r="B100"/>
  <c r="F99"/>
  <c r="E99"/>
  <c r="D99"/>
  <c r="C99"/>
  <c r="B99"/>
  <c r="F98"/>
  <c r="E98"/>
  <c r="D98"/>
  <c r="C98"/>
  <c r="B98"/>
  <c r="F97"/>
  <c r="E97"/>
  <c r="D97"/>
  <c r="C97"/>
  <c r="B97"/>
  <c r="F96"/>
  <c r="E96"/>
  <c r="D96"/>
  <c r="C96"/>
  <c r="B96"/>
  <c r="D95"/>
  <c r="C95"/>
  <c r="B95"/>
  <c r="D94"/>
  <c r="C94"/>
  <c r="B94"/>
  <c r="F93"/>
  <c r="E93"/>
  <c r="D93"/>
  <c r="C93"/>
  <c r="B93"/>
  <c r="F92"/>
  <c r="E92"/>
  <c r="D92"/>
  <c r="C92"/>
  <c r="B92"/>
  <c r="F91"/>
  <c r="E91"/>
  <c r="D91"/>
  <c r="C91"/>
  <c r="B91"/>
  <c r="F90"/>
  <c r="E90"/>
  <c r="D90"/>
  <c r="C90"/>
  <c r="B90"/>
  <c r="F89"/>
  <c r="E89"/>
  <c r="D89"/>
  <c r="C89"/>
  <c r="B89"/>
  <c r="F88"/>
  <c r="E88"/>
  <c r="D88"/>
  <c r="C88"/>
  <c r="B88"/>
  <c r="F87"/>
  <c r="E87"/>
  <c r="D87"/>
  <c r="C87"/>
  <c r="B87"/>
  <c r="F86"/>
  <c r="E86"/>
  <c r="D86"/>
  <c r="C86"/>
  <c r="B86"/>
  <c r="F85"/>
  <c r="E85"/>
  <c r="D85"/>
  <c r="C85"/>
  <c r="B85"/>
  <c r="F84"/>
  <c r="E84"/>
  <c r="D84"/>
  <c r="C84"/>
  <c r="B84"/>
  <c r="F83"/>
  <c r="E83"/>
  <c r="D83"/>
  <c r="C83"/>
  <c r="B83"/>
  <c r="A83"/>
  <c r="F82"/>
  <c r="E82"/>
  <c r="D82"/>
  <c r="C82"/>
  <c r="B82"/>
  <c r="F81"/>
  <c r="E81"/>
  <c r="D81"/>
  <c r="C81"/>
  <c r="B81"/>
  <c r="F80"/>
  <c r="E80"/>
  <c r="D80"/>
  <c r="C80"/>
  <c r="B80"/>
  <c r="F79"/>
  <c r="E79"/>
  <c r="D79"/>
  <c r="C79"/>
  <c r="B79"/>
  <c r="F76"/>
  <c r="F75"/>
  <c r="F74"/>
  <c r="F73"/>
  <c r="F72"/>
  <c r="F71"/>
  <c r="F70"/>
  <c r="F69"/>
  <c r="E69"/>
  <c r="D69"/>
  <c r="C69"/>
  <c r="F68"/>
  <c r="E68"/>
  <c r="D68"/>
  <c r="C68"/>
  <c r="F67"/>
  <c r="E67"/>
  <c r="D67"/>
  <c r="C67"/>
  <c r="F66"/>
  <c r="E66"/>
  <c r="D66"/>
  <c r="C66"/>
  <c r="F63"/>
  <c r="E63"/>
  <c r="C63"/>
  <c r="F62"/>
  <c r="E62"/>
  <c r="C62"/>
  <c r="F59"/>
  <c r="F58"/>
  <c r="F57"/>
  <c r="F56"/>
  <c r="F55"/>
  <c r="F54"/>
  <c r="F50"/>
  <c r="E50"/>
  <c r="C50"/>
  <c r="F47"/>
  <c r="D47"/>
  <c r="C47"/>
  <c r="F46"/>
  <c r="D46"/>
  <c r="C46"/>
  <c r="F42"/>
  <c r="F41"/>
  <c r="F40"/>
  <c r="F38"/>
  <c r="E38"/>
  <c r="C38"/>
  <c r="F37"/>
  <c r="E37"/>
  <c r="C37"/>
  <c r="F36"/>
  <c r="F35"/>
  <c r="D35"/>
  <c r="F34"/>
  <c r="D34"/>
  <c r="F33"/>
  <c r="D33"/>
  <c r="F32"/>
  <c r="D32"/>
  <c r="F31"/>
  <c r="D31"/>
  <c r="F30"/>
  <c r="F29"/>
  <c r="F28"/>
  <c r="F27"/>
  <c r="C27"/>
  <c r="B27"/>
  <c r="F26"/>
  <c r="C26"/>
  <c r="B26"/>
  <c r="F25"/>
  <c r="C25"/>
  <c r="B25"/>
  <c r="F21"/>
  <c r="E21"/>
  <c r="C21"/>
  <c r="B21"/>
  <c r="F20"/>
  <c r="E20"/>
  <c r="C20"/>
  <c r="B20"/>
  <c r="E19"/>
  <c r="F19"/>
  <c r="C19"/>
  <c r="B19"/>
  <c r="F18"/>
  <c r="E18"/>
  <c r="C18"/>
  <c r="B18"/>
  <c r="C17"/>
  <c r="B17"/>
  <c r="C16"/>
  <c r="B16"/>
  <c r="C14"/>
  <c r="B14"/>
  <c r="F13"/>
  <c r="E13"/>
  <c r="C13"/>
  <c r="B13"/>
  <c r="E12"/>
  <c r="F12"/>
  <c r="C12"/>
  <c r="B12"/>
  <c r="C11"/>
  <c r="B11"/>
  <c r="C10"/>
  <c r="B10"/>
  <c r="F9"/>
  <c r="E9"/>
  <c r="C9"/>
  <c r="B9"/>
  <c r="C7"/>
  <c r="B7"/>
  <c r="C6"/>
  <c r="B6"/>
  <c r="C5"/>
  <c r="B5"/>
  <c r="C4"/>
  <c r="B4"/>
  <c r="E95"/>
  <c r="F95"/>
  <c r="E94"/>
  <c r="F94"/>
  <c r="F163"/>
  <c r="F38" i="18"/>
  <c r="E38"/>
  <c r="D38"/>
  <c r="C38"/>
  <c r="I37"/>
  <c r="I36"/>
  <c r="H36"/>
  <c r="F36"/>
  <c r="E36"/>
  <c r="D36"/>
  <c r="C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F3"/>
  <c r="E3"/>
  <c r="D3"/>
  <c r="C3"/>
  <c r="D38" i="11"/>
  <c r="C38"/>
  <c r="G37"/>
  <c r="G36"/>
  <c r="F36"/>
  <c r="D36"/>
  <c r="C36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F4"/>
  <c r="D3"/>
  <c r="C3"/>
  <c r="D38" i="9"/>
  <c r="C36"/>
  <c r="C38"/>
  <c r="G30"/>
  <c r="G36"/>
  <c r="F30"/>
  <c r="F36"/>
  <c r="G37"/>
  <c r="D36"/>
  <c r="G34"/>
  <c r="F34"/>
  <c r="G33"/>
  <c r="F33"/>
  <c r="G32"/>
  <c r="F32"/>
  <c r="G31"/>
  <c r="F31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D3"/>
  <c r="C3"/>
  <c r="S36" i="19"/>
  <c r="S38"/>
  <c r="R36"/>
  <c r="R38"/>
  <c r="Q38"/>
  <c r="P38"/>
  <c r="O38"/>
  <c r="N38"/>
  <c r="M38"/>
  <c r="L38"/>
  <c r="K38"/>
  <c r="J38"/>
  <c r="I38"/>
  <c r="H38"/>
  <c r="G38"/>
  <c r="F38"/>
  <c r="E38"/>
  <c r="D38"/>
  <c r="C38"/>
  <c r="U33"/>
  <c r="U36"/>
  <c r="T33"/>
  <c r="T36"/>
  <c r="U37"/>
  <c r="Q36"/>
  <c r="P36"/>
  <c r="O36"/>
  <c r="N36"/>
  <c r="M36"/>
  <c r="L36"/>
  <c r="K36"/>
  <c r="J36"/>
  <c r="I36"/>
  <c r="H36"/>
  <c r="G36"/>
  <c r="F36"/>
  <c r="E36"/>
  <c r="D36"/>
  <c r="C36"/>
  <c r="U35"/>
  <c r="T35"/>
  <c r="U34"/>
  <c r="T34"/>
  <c r="U32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U6"/>
  <c r="T6"/>
  <c r="U5"/>
  <c r="T5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<sst xmlns="http://schemas.openxmlformats.org/spreadsheetml/2006/main" count="411" uniqueCount="254">
  <si>
    <t>Miel des Forets</t>
    <phoneticPr fontId="6" type="noConversion"/>
  </si>
  <si>
    <t>Entre deux miellees</t>
    <phoneticPr fontId="6" type="noConversion"/>
  </si>
  <si>
    <t>Acacia</t>
    <phoneticPr fontId="6" type="noConversion"/>
  </si>
  <si>
    <t>display van 12: 21452 Pure chocolade peer en amandelen</t>
    <phoneticPr fontId="6" type="noConversion"/>
  </si>
  <si>
    <t>display van 12: 21406 Pure chocolade Uganda 80%</t>
    <phoneticPr fontId="6" type="noConversion"/>
  </si>
  <si>
    <t>display van 12: 21341 Cachet melk chocolade 39%</t>
    <phoneticPr fontId="6" type="noConversion"/>
  </si>
  <si>
    <t>Surreau</t>
    <phoneticPr fontId="6" type="noConversion"/>
  </si>
  <si>
    <t>Peru 64%</t>
    <phoneticPr fontId="6" type="noConversion"/>
  </si>
  <si>
    <t>Melkchocolade Madagascar 32%</t>
    <phoneticPr fontId="6" type="noConversion"/>
  </si>
  <si>
    <t>BIO melk chocolade 39%</t>
    <phoneticPr fontId="6" type="noConversion"/>
  </si>
  <si>
    <t>BIO Pure chocolade 72%</t>
    <phoneticPr fontId="6" type="noConversion"/>
  </si>
  <si>
    <t>braambessen en gember</t>
    <phoneticPr fontId="6" type="noConversion"/>
  </si>
  <si>
    <t xml:space="preserve"> peer en amandelen</t>
    <phoneticPr fontId="6" type="noConversion"/>
  </si>
  <si>
    <t>Walnoten - 550 g</t>
    <phoneticPr fontId="6" type="noConversion"/>
  </si>
  <si>
    <t>Commissie Directe Verkoop</t>
    <phoneticPr fontId="6" type="noConversion"/>
  </si>
  <si>
    <t>Magneten</t>
    <phoneticPr fontId="6" type="noConversion"/>
  </si>
  <si>
    <t>per paar</t>
    <phoneticPr fontId="6" type="noConversion"/>
  </si>
  <si>
    <t>Cinnamon powder</t>
    <phoneticPr fontId="6" type="noConversion"/>
  </si>
  <si>
    <t>Curcuma</t>
    <phoneticPr fontId="6" type="noConversion"/>
  </si>
  <si>
    <t>Ginger powder</t>
    <phoneticPr fontId="6" type="noConversion"/>
  </si>
  <si>
    <t>Star anis</t>
    <phoneticPr fontId="6" type="noConversion"/>
  </si>
  <si>
    <t>Savon beurre de karité 100g</t>
    <phoneticPr fontId="6" type="noConversion"/>
  </si>
  <si>
    <t>Flax seed</t>
    <phoneticPr fontId="6" type="noConversion"/>
  </si>
  <si>
    <t>Zevenster</t>
    <phoneticPr fontId="6" type="noConversion"/>
  </si>
  <si>
    <t>Appelsap 3 l</t>
    <phoneticPr fontId="6" type="noConversion"/>
  </si>
  <si>
    <t>Appelsap 5 l</t>
    <phoneticPr fontId="6" type="noConversion"/>
  </si>
  <si>
    <t>Vlierbessensiroop</t>
    <phoneticPr fontId="6" type="noConversion"/>
  </si>
  <si>
    <t>Marché</t>
    <phoneticPr fontId="6" type="noConversion"/>
  </si>
  <si>
    <t>Sélection du Terroir</t>
    <phoneticPr fontId="6" type="noConversion"/>
  </si>
  <si>
    <t>Lait corporel</t>
    <phoneticPr fontId="6" type="noConversion"/>
  </si>
  <si>
    <t>Darjeeling</t>
    <phoneticPr fontId="6" type="noConversion"/>
  </si>
  <si>
    <t>Savon miel amandes 100g</t>
    <phoneticPr fontId="6" type="noConversion"/>
  </si>
  <si>
    <t>savon exfoliant 100g</t>
    <phoneticPr fontId="6" type="noConversion"/>
  </si>
  <si>
    <t>2 paires</t>
    <phoneticPr fontId="6" type="noConversion"/>
  </si>
  <si>
    <t>Hibiscus</t>
    <phoneticPr fontId="6" type="noConversion"/>
  </si>
  <si>
    <t>Jasmijn bloesem</t>
    <phoneticPr fontId="6" type="noConversion"/>
  </si>
  <si>
    <t>Bonbons</t>
    <phoneticPr fontId="6" type="noConversion"/>
  </si>
  <si>
    <t>Cuvée Solaire - 6 bouteilles</t>
    <phoneticPr fontId="6" type="noConversion"/>
  </si>
  <si>
    <t>Huile essentiele lavandin</t>
    <phoneticPr fontId="6" type="noConversion"/>
  </si>
  <si>
    <t xml:space="preserve"> Melkchocolade met honing en amandelen</t>
    <phoneticPr fontId="6" type="noConversion"/>
  </si>
  <si>
    <t>Amandelen en Zeezout</t>
    <phoneticPr fontId="6" type="noConversion"/>
  </si>
  <si>
    <t>Verbena</t>
    <phoneticPr fontId="6" type="noConversion"/>
  </si>
  <si>
    <t>Kaneelstokken Ceylon</t>
    <phoneticPr fontId="6" type="noConversion"/>
  </si>
  <si>
    <t>Kaneel poeder</t>
    <phoneticPr fontId="6" type="noConversion"/>
  </si>
  <si>
    <t>Aimants</t>
    <phoneticPr fontId="6" type="noConversion"/>
  </si>
  <si>
    <t>Green tea Chunmee</t>
    <phoneticPr fontId="6" type="noConversion"/>
  </si>
  <si>
    <t>Sunflower seeds</t>
    <phoneticPr fontId="6" type="noConversion"/>
  </si>
  <si>
    <t>Pumpkin seeds</t>
    <phoneticPr fontId="6" type="noConversion"/>
  </si>
  <si>
    <t>Poppy seeds</t>
    <phoneticPr fontId="6" type="noConversion"/>
  </si>
  <si>
    <t>Chia seeds</t>
    <phoneticPr fontId="6" type="noConversion"/>
  </si>
  <si>
    <t>Black Sesame</t>
    <phoneticPr fontId="6" type="noConversion"/>
  </si>
  <si>
    <t>Black Sesame</t>
    <phoneticPr fontId="6" type="noConversion"/>
  </si>
  <si>
    <t>Ruche des Radis</t>
    <phoneticPr fontId="6" type="noConversion"/>
  </si>
  <si>
    <t>Miel de printemps</t>
    <phoneticPr fontId="6" type="noConversion"/>
  </si>
  <si>
    <t>Miel d'ete</t>
    <phoneticPr fontId="6" type="noConversion"/>
  </si>
  <si>
    <t>Miel des combrailles</t>
    <phoneticPr fontId="6" type="noConversion"/>
  </si>
  <si>
    <t>Miel des Forets</t>
    <phoneticPr fontId="6" type="noConversion"/>
  </si>
  <si>
    <t>Entre deux Miellees</t>
    <phoneticPr fontId="6" type="noConversion"/>
  </si>
  <si>
    <t>Miel d'Acacia</t>
    <phoneticPr fontId="6" type="noConversion"/>
  </si>
  <si>
    <t>Miel de printemps</t>
    <phoneticPr fontId="6" type="noConversion"/>
  </si>
  <si>
    <t>display van 12: 21404 Pure chocolade Peru 64%</t>
  </si>
  <si>
    <t>Amandelen en fleur de sel</t>
    <phoneticPr fontId="6" type="noConversion"/>
  </si>
  <si>
    <t>Oeganda 80%</t>
    <phoneticPr fontId="6" type="noConversion"/>
  </si>
  <si>
    <t>Costa Rica 71%</t>
    <phoneticPr fontId="6" type="noConversion"/>
  </si>
  <si>
    <t>Peru 64%</t>
    <phoneticPr fontId="6" type="noConversion"/>
  </si>
  <si>
    <t>Madagascar 32%</t>
    <phoneticPr fontId="6" type="noConversion"/>
  </si>
  <si>
    <t>stock</t>
    <phoneticPr fontId="6" type="noConversion"/>
  </si>
  <si>
    <t>sold</t>
    <phoneticPr fontId="6" type="noConversion"/>
  </si>
  <si>
    <t>Terroirs du Monde</t>
    <phoneticPr fontId="6" type="noConversion"/>
  </si>
  <si>
    <t>Cuvée Solaire</t>
    <phoneticPr fontId="6" type="noConversion"/>
  </si>
  <si>
    <t>R - 6 bouteilles</t>
    <phoneticPr fontId="6" type="noConversion"/>
  </si>
  <si>
    <t>O - 6 bouteilles</t>
    <phoneticPr fontId="6" type="noConversion"/>
  </si>
  <si>
    <t>Groene thee Gunpowder</t>
    <phoneticPr fontId="6" type="noConversion"/>
  </si>
  <si>
    <t>Kaneel</t>
    <phoneticPr fontId="6" type="noConversion"/>
  </si>
  <si>
    <t>displays van 12: 21453 Pure chocolade peper en citroen</t>
    <phoneticPr fontId="6" type="noConversion"/>
  </si>
  <si>
    <t>display van 12: 21372 Melkchocolade met honing en amandelen</t>
    <phoneticPr fontId="6" type="noConversion"/>
  </si>
  <si>
    <t>displays van 12: 21454 Pure chocolade braambessen en gember</t>
    <phoneticPr fontId="6" type="noConversion"/>
  </si>
  <si>
    <t>Healthy Seed Mix</t>
    <phoneticPr fontId="6" type="noConversion"/>
  </si>
  <si>
    <t>Hazelnoten 700 g</t>
    <phoneticPr fontId="6" type="noConversion"/>
  </si>
  <si>
    <t>Walnoten 550 g</t>
    <phoneticPr fontId="6" type="noConversion"/>
  </si>
  <si>
    <t>Repro's</t>
    <phoneticPr fontId="6" type="noConversion"/>
  </si>
  <si>
    <t>Philippe Meyrier 20x30</t>
    <phoneticPr fontId="6" type="noConversion"/>
  </si>
  <si>
    <t>Groene thee Chunmee</t>
    <phoneticPr fontId="6" type="noConversion"/>
  </si>
  <si>
    <t>Earl Grey</t>
    <phoneticPr fontId="6" type="noConversion"/>
  </si>
  <si>
    <t>display van 12: 21374 Cachet Pure chocolade 57% met Mint Crisp</t>
    <phoneticPr fontId="6" type="noConversion"/>
  </si>
  <si>
    <t>Cretolive</t>
    <phoneticPr fontId="6" type="noConversion"/>
  </si>
  <si>
    <t>Savon miel amandes 100g - ficelle</t>
    <phoneticPr fontId="6" type="noConversion"/>
  </si>
  <si>
    <t>Forest tea</t>
    <phoneticPr fontId="6" type="noConversion"/>
  </si>
  <si>
    <t>Green tea with jasmin</t>
    <phoneticPr fontId="6" type="noConversion"/>
  </si>
  <si>
    <t>Hibiskus</t>
    <phoneticPr fontId="6" type="noConversion"/>
  </si>
  <si>
    <t>Jasmin flowers</t>
    <phoneticPr fontId="6" type="noConversion"/>
  </si>
  <si>
    <t>Eucalyptus</t>
    <phoneticPr fontId="6" type="noConversion"/>
  </si>
  <si>
    <t>Yerba Matee</t>
    <phoneticPr fontId="6" type="noConversion"/>
  </si>
  <si>
    <t>Verveine</t>
    <phoneticPr fontId="6" type="noConversion"/>
  </si>
  <si>
    <t>Terroirs du Monde</t>
    <phoneticPr fontId="6" type="noConversion"/>
  </si>
  <si>
    <t>A - 6 bouteilles</t>
    <phoneticPr fontId="6" type="noConversion"/>
  </si>
  <si>
    <t>Hazelnoten - 700 g</t>
    <phoneticPr fontId="6" type="noConversion"/>
  </si>
  <si>
    <t>Fromage de tete</t>
    <phoneticPr fontId="6" type="noConversion"/>
  </si>
  <si>
    <t>Jus de raisin blanc</t>
    <phoneticPr fontId="6" type="noConversion"/>
  </si>
  <si>
    <t>Confiture de mures</t>
    <phoneticPr fontId="6" type="noConversion"/>
  </si>
  <si>
    <t>R</t>
    <phoneticPr fontId="6" type="noConversion"/>
  </si>
  <si>
    <t>O</t>
    <phoneticPr fontId="6" type="noConversion"/>
  </si>
  <si>
    <t>A</t>
    <phoneticPr fontId="6" type="noConversion"/>
  </si>
  <si>
    <t>Jean Tetart</t>
    <phoneticPr fontId="6" type="noConversion"/>
  </si>
  <si>
    <t>Lavendelolie</t>
    <phoneticPr fontId="6" type="noConversion"/>
  </si>
  <si>
    <t>20 ml</t>
    <phoneticPr fontId="6" type="noConversion"/>
  </si>
  <si>
    <t>50 ml</t>
    <phoneticPr fontId="6" type="noConversion"/>
  </si>
  <si>
    <t>Huile 250 ml</t>
    <phoneticPr fontId="6" type="noConversion"/>
  </si>
  <si>
    <t>Baume beauté</t>
    <phoneticPr fontId="6" type="noConversion"/>
  </si>
  <si>
    <t>Cinnamon</t>
    <phoneticPr fontId="6" type="noConversion"/>
  </si>
  <si>
    <t>Verveine</t>
    <phoneticPr fontId="6" type="noConversion"/>
  </si>
  <si>
    <t>Luc Tack</t>
    <phoneticPr fontId="6" type="noConversion"/>
  </si>
  <si>
    <t>Apple juice 3 l</t>
    <phoneticPr fontId="6" type="noConversion"/>
  </si>
  <si>
    <t>confiture de fraises au balsamique et poivre</t>
    <phoneticPr fontId="6" type="noConversion"/>
  </si>
  <si>
    <t>Gelee de pommes a la menthe</t>
    <phoneticPr fontId="6" type="noConversion"/>
  </si>
  <si>
    <t>Gelee de pommes nature</t>
    <phoneticPr fontId="6" type="noConversion"/>
  </si>
  <si>
    <t xml:space="preserve"> melkchocolade met Kaneel</t>
    <phoneticPr fontId="6" type="noConversion"/>
  </si>
  <si>
    <t xml:space="preserve"> Uganda 80%</t>
    <phoneticPr fontId="6" type="noConversion"/>
  </si>
  <si>
    <t>Costa Rica 71%</t>
    <phoneticPr fontId="6" type="noConversion"/>
  </si>
  <si>
    <t>vp</t>
    <phoneticPr fontId="6" type="noConversion"/>
  </si>
  <si>
    <t>VP ex</t>
    <phoneticPr fontId="6" type="noConversion"/>
  </si>
  <si>
    <t>prijs ex</t>
    <phoneticPr fontId="6" type="noConversion"/>
  </si>
  <si>
    <t>Muntsiroop</t>
    <phoneticPr fontId="6" type="noConversion"/>
  </si>
  <si>
    <t>Agripaume - Hartgespan</t>
    <phoneticPr fontId="6" type="noConversion"/>
  </si>
  <si>
    <t>Miel d'ete</t>
    <phoneticPr fontId="6" type="noConversion"/>
  </si>
  <si>
    <t>Miel des Combrailles</t>
    <phoneticPr fontId="6" type="noConversion"/>
  </si>
  <si>
    <t>place</t>
    <phoneticPr fontId="6" type="noConversion"/>
  </si>
  <si>
    <t>essence</t>
    <phoneticPr fontId="6" type="noConversion"/>
  </si>
  <si>
    <t>Commentry</t>
    <phoneticPr fontId="6" type="noConversion"/>
  </si>
  <si>
    <t>Display van 12: 21376 Cachet Pure chocolade 57% met Amandelen en Zeezout</t>
    <phoneticPr fontId="6" type="noConversion"/>
  </si>
  <si>
    <t>Asinerie de la Vioure</t>
    <phoneticPr fontId="6" type="noConversion"/>
  </si>
  <si>
    <t>Agripaume</t>
    <phoneticPr fontId="6" type="noConversion"/>
  </si>
  <si>
    <t>Tisane de Foret</t>
    <phoneticPr fontId="6" type="noConversion"/>
  </si>
  <si>
    <t>Menthe</t>
    <phoneticPr fontId="6" type="noConversion"/>
  </si>
  <si>
    <t>Menthe et melisse</t>
    <phoneticPr fontId="6" type="noConversion"/>
  </si>
  <si>
    <t>Verveine citronelle</t>
    <phoneticPr fontId="6" type="noConversion"/>
  </si>
  <si>
    <t>Kaneel stokken</t>
    <phoneticPr fontId="6" type="noConversion"/>
  </si>
  <si>
    <t>Curcuma</t>
    <phoneticPr fontId="6" type="noConversion"/>
  </si>
  <si>
    <t>Gember</t>
    <phoneticPr fontId="6" type="noConversion"/>
  </si>
  <si>
    <t>display van 12: 21405 Pure chocolade Costa Rica 71%</t>
    <phoneticPr fontId="6" type="noConversion"/>
  </si>
  <si>
    <t>Confiture de fraise a la menthe</t>
    <phoneticPr fontId="6" type="noConversion"/>
  </si>
  <si>
    <t>Confiture de fraise au rhubarbe</t>
    <phoneticPr fontId="6" type="noConversion"/>
  </si>
  <si>
    <t>50 ml</t>
    <phoneticPr fontId="6" type="noConversion"/>
  </si>
  <si>
    <t>Aimants</t>
    <phoneticPr fontId="6" type="noConversion"/>
  </si>
  <si>
    <t>paires</t>
    <phoneticPr fontId="6" type="noConversion"/>
  </si>
  <si>
    <t>Trilogie</t>
    <phoneticPr fontId="6" type="noConversion"/>
  </si>
  <si>
    <t>Confit oignons</t>
    <phoneticPr fontId="6" type="noConversion"/>
  </si>
  <si>
    <t>display van 12: 21342 Cachet Pure chocolade 72%</t>
    <phoneticPr fontId="6" type="noConversion"/>
  </si>
  <si>
    <t>Eucalyptus</t>
    <phoneticPr fontId="6" type="noConversion"/>
  </si>
  <si>
    <t>Matee thee</t>
    <phoneticPr fontId="6" type="noConversion"/>
  </si>
  <si>
    <t>Woudthee</t>
    <phoneticPr fontId="6" type="noConversion"/>
  </si>
  <si>
    <t>Ceylon Breakfast</t>
    <phoneticPr fontId="6" type="noConversion"/>
  </si>
  <si>
    <t>English Breakfast</t>
    <phoneticPr fontId="6" type="noConversion"/>
  </si>
  <si>
    <t>appelsien en amandelen</t>
    <phoneticPr fontId="6" type="noConversion"/>
  </si>
  <si>
    <t xml:space="preserve"> peper en citroen</t>
    <phoneticPr fontId="6" type="noConversion"/>
  </si>
  <si>
    <t>cacao nibs</t>
    <phoneticPr fontId="6" type="noConversion"/>
  </si>
  <si>
    <t xml:space="preserve">displays van 12: 21373 Melkchocolade met karamel en fleur de sel </t>
  </si>
  <si>
    <t>Farine 250 g</t>
    <phoneticPr fontId="6" type="noConversion"/>
  </si>
  <si>
    <t>Grains 250 g</t>
    <phoneticPr fontId="6" type="noConversion"/>
  </si>
  <si>
    <t>Fleurs de chanvre 10 g</t>
    <phoneticPr fontId="6" type="noConversion"/>
  </si>
  <si>
    <t>Healthy Seed Mix</t>
    <phoneticPr fontId="6" type="noConversion"/>
  </si>
  <si>
    <t>Cretolive 75 cl</t>
    <phoneticPr fontId="6" type="noConversion"/>
  </si>
  <si>
    <t>Munt en melisse siroop</t>
    <phoneticPr fontId="6" type="noConversion"/>
  </si>
  <si>
    <t>Verbena siroop</t>
    <phoneticPr fontId="6" type="noConversion"/>
  </si>
  <si>
    <t>Rooibos</t>
    <phoneticPr fontId="6" type="noConversion"/>
  </si>
  <si>
    <t>Groene thee</t>
    <phoneticPr fontId="6" type="noConversion"/>
  </si>
  <si>
    <t>Steranijs</t>
    <phoneticPr fontId="6" type="noConversion"/>
  </si>
  <si>
    <t>Sesam zaden</t>
    <phoneticPr fontId="6" type="noConversion"/>
  </si>
  <si>
    <t>display van 12: 21401 Melkchocolade Madagascar 32%</t>
  </si>
  <si>
    <t>Jacques Montel</t>
    <phoneticPr fontId="6" type="noConversion"/>
  </si>
  <si>
    <t>Terrine de Campagne</t>
    <phoneticPr fontId="6" type="noConversion"/>
  </si>
  <si>
    <t>Ceylon Breakfast</t>
    <phoneticPr fontId="6" type="noConversion"/>
  </si>
  <si>
    <t>English Breakfast</t>
    <phoneticPr fontId="6" type="noConversion"/>
  </si>
  <si>
    <t>Darjeeling</t>
    <phoneticPr fontId="6" type="noConversion"/>
  </si>
  <si>
    <t>20 ml</t>
    <phoneticPr fontId="6" type="noConversion"/>
  </si>
  <si>
    <t>Jean Tetart</t>
    <phoneticPr fontId="6" type="noConversion"/>
  </si>
  <si>
    <t>Terre de ROA</t>
    <phoneticPr fontId="6" type="noConversion"/>
  </si>
  <si>
    <t>Cachet</t>
    <phoneticPr fontId="6" type="noConversion"/>
  </si>
  <si>
    <t>LHEA</t>
    <phoneticPr fontId="6" type="noConversion"/>
  </si>
  <si>
    <t>Honing en amandelen</t>
    <phoneticPr fontId="6" type="noConversion"/>
  </si>
  <si>
    <t>Cinnamon Ceylon</t>
    <phoneticPr fontId="6" type="noConversion"/>
  </si>
  <si>
    <t>Zonnebloempitten</t>
    <phoneticPr fontId="6" type="noConversion"/>
  </si>
  <si>
    <t>Pompoen pitten</t>
    <phoneticPr fontId="6" type="noConversion"/>
  </si>
  <si>
    <t>Maanzaad</t>
    <phoneticPr fontId="6" type="noConversion"/>
  </si>
  <si>
    <t>Chia zaad</t>
    <phoneticPr fontId="6" type="noConversion"/>
  </si>
  <si>
    <t>Lijnzaad</t>
    <phoneticPr fontId="6" type="noConversion"/>
  </si>
  <si>
    <t>Savon beurre de karité 50g</t>
    <phoneticPr fontId="6" type="noConversion"/>
  </si>
  <si>
    <t>Savon miel amandes 50g</t>
    <phoneticPr fontId="6" type="noConversion"/>
  </si>
  <si>
    <t>Confiture de fraises au porto blanc et sauge</t>
    <phoneticPr fontId="6" type="noConversion"/>
  </si>
  <si>
    <t>infusettes</t>
    <phoneticPr fontId="6" type="noConversion"/>
  </si>
  <si>
    <t>fraise</t>
    <phoneticPr fontId="6" type="noConversion"/>
  </si>
  <si>
    <t>green leaf</t>
    <phoneticPr fontId="6" type="noConversion"/>
  </si>
  <si>
    <t>Mr T</t>
    <phoneticPr fontId="6" type="noConversion"/>
  </si>
  <si>
    <t>savon exfoliant 50g</t>
    <phoneticPr fontId="6" type="noConversion"/>
  </si>
  <si>
    <t>Chanvre</t>
    <phoneticPr fontId="6" type="noConversion"/>
  </si>
  <si>
    <t>Cuvée Lunaire</t>
    <phoneticPr fontId="6" type="noConversion"/>
  </si>
  <si>
    <t>Peper en citroen</t>
    <phoneticPr fontId="6" type="noConversion"/>
  </si>
  <si>
    <t>Puur met cacao schilfers</t>
    <phoneticPr fontId="6" type="noConversion"/>
  </si>
  <si>
    <t>Braambessen en gember</t>
    <phoneticPr fontId="6" type="noConversion"/>
  </si>
  <si>
    <t>Peer en amandelen</t>
    <phoneticPr fontId="6" type="noConversion"/>
  </si>
  <si>
    <t>Appelsien en amandelen</t>
    <phoneticPr fontId="6" type="noConversion"/>
  </si>
  <si>
    <t>Sesame seeds</t>
    <phoneticPr fontId="6" type="noConversion"/>
  </si>
  <si>
    <t>bonbons</t>
    <phoneticPr fontId="6" type="noConversion"/>
  </si>
  <si>
    <t>Groene thee Sencha</t>
    <phoneticPr fontId="6" type="noConversion"/>
  </si>
  <si>
    <t>Earl Grey</t>
    <phoneticPr fontId="6" type="noConversion"/>
  </si>
  <si>
    <t xml:space="preserve">Melkchocolade met karamel en fleur de sel </t>
    <phoneticPr fontId="6" type="noConversion"/>
  </si>
  <si>
    <t>Pure chocolade 57% met Mint Crisp</t>
    <phoneticPr fontId="6" type="noConversion"/>
  </si>
  <si>
    <t>Groene thee met Jasmijn</t>
    <phoneticPr fontId="6" type="noConversion"/>
  </si>
  <si>
    <t>Estouffade de boeuf</t>
    <phoneticPr fontId="6" type="noConversion"/>
  </si>
  <si>
    <t>Mijoté de porc</t>
    <phoneticPr fontId="6" type="noConversion"/>
  </si>
  <si>
    <t>Sauté de porc aux cèpes</t>
    <phoneticPr fontId="6" type="noConversion"/>
  </si>
  <si>
    <t>Viande de porc en gelée</t>
    <phoneticPr fontId="6" type="noConversion"/>
  </si>
  <si>
    <t>Daube de boeuf</t>
    <phoneticPr fontId="6" type="noConversion"/>
  </si>
  <si>
    <t>display van 12: 21451 Pure chocolade appelsien en amandelen</t>
  </si>
  <si>
    <t>display van 12: 21371 Extra pure chocolate 70% met cacao nibs</t>
  </si>
  <si>
    <t>Confit au vin blanc</t>
    <phoneticPr fontId="6" type="noConversion"/>
  </si>
  <si>
    <t>Confit au vin rouge</t>
    <phoneticPr fontId="6" type="noConversion"/>
  </si>
  <si>
    <t>savon exfoliant 100g - ficelle</t>
    <phoneticPr fontId="6" type="noConversion"/>
  </si>
  <si>
    <t>Confituur 230 ml</t>
    <phoneticPr fontId="6" type="noConversion"/>
  </si>
  <si>
    <t>Confituur 325 ml</t>
    <phoneticPr fontId="6" type="noConversion"/>
  </si>
  <si>
    <t>Caramel en fleur de sel</t>
    <phoneticPr fontId="6" type="noConversion"/>
  </si>
  <si>
    <t>Mint crisp</t>
    <phoneticPr fontId="6" type="noConversion"/>
  </si>
  <si>
    <t>Philippe Meyrier 30x45</t>
    <phoneticPr fontId="6" type="noConversion"/>
  </si>
  <si>
    <t>display van 12: 21375 Cachet melkchocolade met Kaneel</t>
    <phoneticPr fontId="6" type="noConversion"/>
  </si>
  <si>
    <t>LHEA</t>
    <phoneticPr fontId="6" type="noConversion"/>
  </si>
  <si>
    <t>Rooibos</t>
    <phoneticPr fontId="6" type="noConversion"/>
  </si>
  <si>
    <t>Green tea</t>
    <phoneticPr fontId="6" type="noConversion"/>
  </si>
  <si>
    <t>Green tea Sencha</t>
    <phoneticPr fontId="6" type="noConversion"/>
  </si>
  <si>
    <t>Grean tea Gunpowder</t>
    <phoneticPr fontId="6" type="noConversion"/>
  </si>
  <si>
    <t>Assurance</t>
    <phoneticPr fontId="6" type="noConversion"/>
  </si>
  <si>
    <t>Apple Juice 5 l</t>
    <phoneticPr fontId="6" type="noConversion"/>
  </si>
  <si>
    <t>Cuvée Lunaire - 6 bouteilles</t>
    <phoneticPr fontId="6" type="noConversion"/>
  </si>
  <si>
    <t>La Ferme à Croutet</t>
    <phoneticPr fontId="6" type="noConversion"/>
  </si>
  <si>
    <t>Jus de raisin rouge</t>
    <phoneticPr fontId="6" type="noConversion"/>
  </si>
  <si>
    <t>Bio melk 39%</t>
    <phoneticPr fontId="6" type="noConversion"/>
  </si>
  <si>
    <t>Bio puur 72%</t>
    <phoneticPr fontId="6" type="noConversion"/>
  </si>
  <si>
    <t>VP btw in</t>
    <phoneticPr fontId="6" type="noConversion"/>
  </si>
  <si>
    <t>Terrine de Canard</t>
    <phoneticPr fontId="6" type="noConversion"/>
  </si>
  <si>
    <t>Rilettes pur porc</t>
    <phoneticPr fontId="6" type="noConversion"/>
  </si>
  <si>
    <t>Terrine de Canard à l'orange</t>
    <phoneticPr fontId="6" type="noConversion"/>
  </si>
  <si>
    <t>Terrine de Lapin</t>
    <phoneticPr fontId="6" type="noConversion"/>
  </si>
  <si>
    <t>Terrine de Lapin aux noissettes</t>
    <phoneticPr fontId="6" type="noConversion"/>
  </si>
  <si>
    <t>Basispakket</t>
    <phoneticPr fontId="6" type="noConversion"/>
  </si>
  <si>
    <t>aantal</t>
    <phoneticPr fontId="6" type="noConversion"/>
  </si>
  <si>
    <t>prijs</t>
    <phoneticPr fontId="6" type="noConversion"/>
  </si>
  <si>
    <t>Infuseurs</t>
    <phoneticPr fontId="6" type="noConversion"/>
  </si>
  <si>
    <t>infusettes</t>
    <phoneticPr fontId="6" type="noConversion"/>
  </si>
  <si>
    <t>Fraise</t>
    <phoneticPr fontId="6" type="noConversion"/>
  </si>
  <si>
    <t>Leaf</t>
    <phoneticPr fontId="6" type="noConversion"/>
  </si>
  <si>
    <t>Mr T</t>
    <phoneticPr fontId="6" type="noConversion"/>
  </si>
  <si>
    <t>km</t>
    <phoneticPr fontId="6" type="noConversion"/>
  </si>
  <si>
    <t>CA</t>
    <phoneticPr fontId="6" type="noConversion"/>
  </si>
  <si>
    <t>marge brut</t>
    <phoneticPr fontId="6" type="noConversion"/>
  </si>
  <si>
    <t>net</t>
    <phoneticPr fontId="6" type="noConversion"/>
  </si>
</sst>
</file>

<file path=xl/styles.xml><?xml version="1.0" encoding="utf-8"?>
<styleSheet xmlns="http://schemas.openxmlformats.org/spreadsheetml/2006/main">
  <numFmts count="3">
    <numFmt numFmtId="164" formatCode="#,##0.00\ [$€-813]"/>
    <numFmt numFmtId="165" formatCode="&quot;€&quot;#,##0.00"/>
    <numFmt numFmtId="166" formatCode="#,##0.00\ [$€-40C]"/>
  </numFmts>
  <fonts count="16">
    <font>
      <sz val="10"/>
      <name val="Verdana"/>
    </font>
    <font>
      <sz val="10"/>
      <name val="Verdana"/>
    </font>
    <font>
      <sz val="10"/>
      <name val="Verdana"/>
    </font>
    <font>
      <i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5"/>
      <name val="Apple Chancery"/>
    </font>
    <font>
      <b/>
      <i/>
      <sz val="12"/>
      <name val="Verdana"/>
    </font>
    <font>
      <b/>
      <sz val="15"/>
      <name val="Apple Chancery"/>
    </font>
    <font>
      <sz val="10"/>
      <name val="Arial"/>
    </font>
    <font>
      <sz val="10"/>
      <name val="Verdana"/>
    </font>
    <font>
      <sz val="10"/>
      <name val="Apple Chancery"/>
    </font>
    <font>
      <sz val="10"/>
      <name val="Verdana"/>
    </font>
    <font>
      <b/>
      <sz val="12"/>
      <name val="Verdana"/>
    </font>
    <font>
      <sz val="12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64" fontId="0" fillId="0" borderId="0" xfId="0" applyNumberFormat="1"/>
    <xf numFmtId="14" fontId="0" fillId="0" borderId="0" xfId="0" applyNumberFormat="1"/>
    <xf numFmtId="164" fontId="0" fillId="0" borderId="0" xfId="0" applyNumberFormat="1"/>
    <xf numFmtId="10" fontId="7" fillId="0" borderId="0" xfId="0" applyNumberFormat="1" applyFont="1"/>
    <xf numFmtId="10" fontId="0" fillId="0" borderId="0" xfId="0" applyNumberFormat="1"/>
    <xf numFmtId="166" fontId="0" fillId="0" borderId="0" xfId="0" applyNumberFormat="1"/>
    <xf numFmtId="166" fontId="9" fillId="0" borderId="0" xfId="0" applyNumberFormat="1" applyFont="1"/>
    <xf numFmtId="166" fontId="8" fillId="0" borderId="0" xfId="0" applyNumberFormat="1" applyFont="1"/>
    <xf numFmtId="166" fontId="0" fillId="0" borderId="0" xfId="0" applyNumberForma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66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0" fontId="0" fillId="0" borderId="0" xfId="0" applyNumberFormat="1"/>
    <xf numFmtId="166" fontId="0" fillId="0" borderId="0" xfId="0" applyNumberFormat="1"/>
    <xf numFmtId="166" fontId="0" fillId="0" borderId="0" xfId="0" applyNumberFormat="1"/>
    <xf numFmtId="0" fontId="8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16" fontId="0" fillId="0" borderId="0" xfId="0" applyNumberFormat="1"/>
    <xf numFmtId="0" fontId="10" fillId="0" borderId="1" xfId="0" applyFont="1" applyBorder="1" applyAlignment="1">
      <alignment wrapText="1"/>
    </xf>
    <xf numFmtId="166" fontId="10" fillId="0" borderId="1" xfId="0" applyNumberFormat="1" applyFont="1" applyBorder="1"/>
    <xf numFmtId="10" fontId="5" fillId="0" borderId="1" xfId="0" applyNumberFormat="1" applyFont="1" applyBorder="1"/>
    <xf numFmtId="164" fontId="0" fillId="0" borderId="1" xfId="0" applyNumberFormat="1" applyBorder="1"/>
    <xf numFmtId="166" fontId="0" fillId="0" borderId="1" xfId="0" applyNumberForma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165" fontId="0" fillId="0" borderId="1" xfId="0" applyNumberFormat="1" applyBorder="1"/>
    <xf numFmtId="166" fontId="10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0" fontId="9" fillId="0" borderId="0" xfId="0" applyFont="1" applyAlignment="1">
      <alignment vertical="center" wrapText="1"/>
    </xf>
    <xf numFmtId="16" fontId="0" fillId="2" borderId="1" xfId="0" applyNumberFormat="1" applyFill="1" applyBorder="1"/>
    <xf numFmtId="0" fontId="0" fillId="2" borderId="1" xfId="0" applyFill="1" applyBorder="1"/>
    <xf numFmtId="166" fontId="0" fillId="2" borderId="1" xfId="0" applyNumberFormat="1" applyFill="1" applyBorder="1"/>
    <xf numFmtId="0" fontId="0" fillId="2" borderId="0" xfId="0" applyFill="1"/>
    <xf numFmtId="10" fontId="0" fillId="0" borderId="0" xfId="0" applyNumberFormat="1"/>
    <xf numFmtId="0" fontId="0" fillId="0" borderId="1" xfId="0" applyFill="1" applyBorder="1"/>
    <xf numFmtId="166" fontId="0" fillId="0" borderId="1" xfId="0" applyNumberFormat="1" applyFill="1" applyBorder="1"/>
    <xf numFmtId="0" fontId="0" fillId="0" borderId="0" xfId="0" applyFill="1"/>
    <xf numFmtId="10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166" fontId="0" fillId="0" borderId="0" xfId="0" applyNumberFormat="1"/>
    <xf numFmtId="166" fontId="0" fillId="0" borderId="0" xfId="0" applyNumberFormat="1" applyFill="1"/>
    <xf numFmtId="10" fontId="0" fillId="0" borderId="0" xfId="0" applyNumberFormat="1"/>
    <xf numFmtId="10" fontId="11" fillId="0" borderId="0" xfId="0" applyNumberFormat="1" applyFont="1" applyAlignment="1">
      <alignment horizontal="center" vertical="center"/>
    </xf>
    <xf numFmtId="10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  <xf numFmtId="10" fontId="0" fillId="0" borderId="0" xfId="0" applyNumberFormat="1"/>
    <xf numFmtId="166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3" fillId="0" borderId="0" xfId="0" applyFont="1"/>
    <xf numFmtId="10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16" fontId="15" fillId="0" borderId="0" xfId="0" applyNumberFormat="1" applyFont="1"/>
    <xf numFmtId="166" fontId="15" fillId="0" borderId="0" xfId="0" applyNumberFormat="1" applyFont="1"/>
    <xf numFmtId="166" fontId="15" fillId="0" borderId="0" xfId="0" applyNumberFormat="1" applyFont="1"/>
    <xf numFmtId="166" fontId="15" fillId="0" borderId="0" xfId="0" applyNumberFormat="1" applyFont="1"/>
    <xf numFmtId="10" fontId="15" fillId="0" borderId="0" xfId="0" applyNumberFormat="1" applyFont="1"/>
    <xf numFmtId="0" fontId="15" fillId="0" borderId="0" xfId="0" applyFont="1" applyAlignment="1">
      <alignment vertical="center"/>
    </xf>
    <xf numFmtId="10" fontId="15" fillId="0" borderId="0" xfId="0" applyNumberFormat="1" applyFont="1"/>
    <xf numFmtId="0" fontId="0" fillId="2" borderId="3" xfId="0" applyFill="1" applyBorder="1"/>
    <xf numFmtId="0" fontId="0" fillId="0" borderId="3" xfId="0" applyBorder="1"/>
    <xf numFmtId="0" fontId="0" fillId="0" borderId="2" xfId="0" applyBorder="1" applyAlignment="1">
      <alignment horizontal="center" wrapText="1"/>
    </xf>
    <xf numFmtId="166" fontId="11" fillId="0" borderId="2" xfId="0" applyNumberFormat="1" applyFont="1" applyBorder="1" applyAlignment="1">
      <alignment horizontal="center" vertical="center"/>
    </xf>
    <xf numFmtId="10" fontId="11" fillId="0" borderId="2" xfId="0" applyNumberFormat="1" applyFont="1" applyBorder="1" applyAlignment="1">
      <alignment horizontal="center" vertical="center"/>
    </xf>
    <xf numFmtId="0" fontId="0" fillId="0" borderId="2" xfId="0" applyBorder="1"/>
    <xf numFmtId="10" fontId="0" fillId="0" borderId="0" xfId="0" applyNumberFormat="1"/>
    <xf numFmtId="10" fontId="0" fillId="2" borderId="0" xfId="0" applyNumberFormat="1" applyFill="1"/>
    <xf numFmtId="166" fontId="15" fillId="0" borderId="0" xfId="0" applyNumberFormat="1" applyFont="1"/>
    <xf numFmtId="0" fontId="9" fillId="0" borderId="0" xfId="0" applyFont="1" applyAlignment="1">
      <alignment vertical="center" wrapText="1"/>
    </xf>
    <xf numFmtId="166" fontId="0" fillId="0" borderId="1" xfId="0" applyNumberFormat="1" applyBorder="1"/>
    <xf numFmtId="1" fontId="0" fillId="2" borderId="1" xfId="0" applyNumberFormat="1" applyFill="1" applyBorder="1"/>
    <xf numFmtId="0" fontId="9" fillId="0" borderId="0" xfId="0" applyFont="1" applyAlignment="1">
      <alignment vertical="center" wrapText="1"/>
    </xf>
    <xf numFmtId="16" fontId="2" fillId="0" borderId="0" xfId="0" applyNumberFormat="1" applyFont="1"/>
    <xf numFmtId="16" fontId="2" fillId="0" borderId="0" xfId="0" applyNumberFormat="1" applyFont="1"/>
    <xf numFmtId="16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1" xfId="0" applyNumberFormat="1" applyFont="1" applyBorder="1"/>
    <xf numFmtId="0" fontId="14" fillId="0" borderId="1" xfId="0" applyFont="1" applyBorder="1"/>
    <xf numFmtId="0" fontId="0" fillId="0" borderId="1" xfId="0" applyNumberFormat="1" applyBorder="1" applyAlignment="1">
      <alignment horizontal="right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01/Documents%20on%20DATA1/Terroirs%20Du%20Monde/Vits-Staelens/calculatie%20the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 1"/>
      <sheetName val="Tea 2"/>
      <sheetName val="Tea 3"/>
      <sheetName val="Tea 4"/>
      <sheetName val="Cachet"/>
      <sheetName val="Spices"/>
      <sheetName val="Seeds"/>
      <sheetName val="Cretolive"/>
      <sheetName val="Huiles essentielles"/>
      <sheetName val="Sirops"/>
      <sheetName val="apple juice"/>
      <sheetName val="Magn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>
            <v>15</v>
          </cell>
        </row>
      </sheetData>
      <sheetData sheetId="8">
        <row r="4">
          <cell r="C4">
            <v>6</v>
          </cell>
        </row>
        <row r="5">
          <cell r="C5">
            <v>10</v>
          </cell>
        </row>
      </sheetData>
      <sheetData sheetId="9">
        <row r="4">
          <cell r="C4">
            <v>2.5</v>
          </cell>
        </row>
        <row r="5">
          <cell r="C5">
            <v>2.5</v>
          </cell>
        </row>
        <row r="6">
          <cell r="C6">
            <v>2.5</v>
          </cell>
        </row>
        <row r="7">
          <cell r="C7">
            <v>2.5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Markets"/>
    </sheetNames>
    <sheetDataSet>
      <sheetData sheetId="0">
        <row r="4">
          <cell r="F4">
            <v>1.3375999999999999</v>
          </cell>
          <cell r="H4">
            <v>3.8</v>
          </cell>
        </row>
        <row r="5">
          <cell r="F5">
            <v>0.87119999999999997</v>
          </cell>
          <cell r="H5">
            <v>2.5</v>
          </cell>
        </row>
        <row r="6">
          <cell r="F6">
            <v>1.3815999999999999</v>
          </cell>
          <cell r="H6">
            <v>4</v>
          </cell>
        </row>
        <row r="7">
          <cell r="F7">
            <v>1.276</v>
          </cell>
          <cell r="H7">
            <v>3.8</v>
          </cell>
        </row>
        <row r="8">
          <cell r="A8" t="str">
            <v>Green tea Chummee</v>
          </cell>
          <cell r="F8">
            <v>1.1792</v>
          </cell>
          <cell r="H8">
            <v>3.4</v>
          </cell>
        </row>
        <row r="9">
          <cell r="F9">
            <v>1.452</v>
          </cell>
          <cell r="H9">
            <v>4.2</v>
          </cell>
        </row>
        <row r="10">
          <cell r="F10">
            <v>1.3375999999999999</v>
          </cell>
          <cell r="H10">
            <v>3.8</v>
          </cell>
        </row>
        <row r="11">
          <cell r="F11">
            <v>1.5048000000000001</v>
          </cell>
          <cell r="H11">
            <v>4.4000000000000004</v>
          </cell>
        </row>
        <row r="12">
          <cell r="F12">
            <v>2.0504000000000002</v>
          </cell>
          <cell r="H12">
            <v>6</v>
          </cell>
        </row>
        <row r="13">
          <cell r="F13">
            <v>1.6543999999999999</v>
          </cell>
          <cell r="H13">
            <v>4.8</v>
          </cell>
        </row>
        <row r="14">
          <cell r="F14">
            <v>1.5575999999999999</v>
          </cell>
          <cell r="H14">
            <v>4.5</v>
          </cell>
        </row>
        <row r="15">
          <cell r="F15">
            <v>0.6306666666666666</v>
          </cell>
          <cell r="H15">
            <v>2</v>
          </cell>
        </row>
        <row r="16">
          <cell r="F16">
            <v>1.0706666666666667</v>
          </cell>
          <cell r="H16">
            <v>3.2</v>
          </cell>
        </row>
        <row r="17">
          <cell r="F17">
            <v>1.276</v>
          </cell>
          <cell r="H17">
            <v>4</v>
          </cell>
        </row>
        <row r="18">
          <cell r="F18">
            <v>0.67320000000000002</v>
          </cell>
          <cell r="H18">
            <v>2.5</v>
          </cell>
        </row>
        <row r="19">
          <cell r="F19">
            <v>0.47299999999999998</v>
          </cell>
          <cell r="H19">
            <v>1.5</v>
          </cell>
        </row>
        <row r="20">
          <cell r="F20">
            <v>1.55</v>
          </cell>
          <cell r="H20">
            <v>4.4000000000000004</v>
          </cell>
        </row>
        <row r="21">
          <cell r="F21">
            <v>0.68200000000000005</v>
          </cell>
          <cell r="H21">
            <v>2</v>
          </cell>
        </row>
        <row r="22">
          <cell r="F22">
            <v>1.8260000000000003</v>
          </cell>
          <cell r="H22">
            <v>5</v>
          </cell>
        </row>
        <row r="23">
          <cell r="F23">
            <v>0.44</v>
          </cell>
          <cell r="H23">
            <v>1.6</v>
          </cell>
        </row>
        <row r="24">
          <cell r="F24">
            <v>0.60133333333333328</v>
          </cell>
          <cell r="H24">
            <v>2</v>
          </cell>
        </row>
        <row r="25">
          <cell r="F25">
            <v>0.6160000000000001</v>
          </cell>
          <cell r="H25">
            <v>2</v>
          </cell>
        </row>
        <row r="26">
          <cell r="F26">
            <v>1.21</v>
          </cell>
          <cell r="H26">
            <v>3.6</v>
          </cell>
        </row>
        <row r="27">
          <cell r="F27">
            <v>0.64679999999999993</v>
          </cell>
          <cell r="H27">
            <v>2.2000000000000002</v>
          </cell>
        </row>
        <row r="28">
          <cell r="F28">
            <v>0.495</v>
          </cell>
          <cell r="H28">
            <v>2.5</v>
          </cell>
        </row>
        <row r="29">
          <cell r="F29">
            <v>0.33879999999999999</v>
          </cell>
          <cell r="H29">
            <v>1</v>
          </cell>
        </row>
        <row r="30">
          <cell r="F30">
            <v>1.0999999999999999</v>
          </cell>
          <cell r="H30">
            <v>2.8</v>
          </cell>
        </row>
        <row r="31">
          <cell r="F31">
            <v>0.59399999999999997</v>
          </cell>
          <cell r="H31">
            <v>2</v>
          </cell>
        </row>
        <row r="32">
          <cell r="F32">
            <v>0.85285714285714276</v>
          </cell>
          <cell r="H32">
            <v>4.5</v>
          </cell>
        </row>
        <row r="33">
          <cell r="F33">
            <v>0.31500000000000006</v>
          </cell>
          <cell r="H33">
            <v>1.2</v>
          </cell>
        </row>
        <row r="35">
          <cell r="F35">
            <v>0.90369428571428578</v>
          </cell>
          <cell r="H35">
            <v>3.8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206"/>
  <sheetViews>
    <sheetView zoomScale="125" workbookViewId="0">
      <pane xSplit="1" ySplit="1" topLeftCell="B136" activePane="bottomRight" state="frozen"/>
      <selection pane="topRight" activeCell="B1" sqref="B1"/>
      <selection pane="bottomLeft" activeCell="A2" sqref="A2"/>
      <selection pane="bottomRight" activeCell="D156" sqref="D156"/>
    </sheetView>
  </sheetViews>
  <sheetFormatPr baseColWidth="10" defaultRowHeight="13"/>
  <cols>
    <col min="1" max="1" width="35.7109375" style="12" customWidth="1"/>
    <col min="2" max="2" width="6.7109375" style="9" customWidth="1"/>
    <col min="3" max="3" width="8.28515625" style="5" customWidth="1"/>
    <col min="4" max="4" width="9.28515625" customWidth="1"/>
    <col min="5" max="5" width="7" bestFit="1" customWidth="1"/>
  </cols>
  <sheetData>
    <row r="1" spans="1:6" ht="25">
      <c r="A1" s="10" t="s">
        <v>68</v>
      </c>
      <c r="B1" s="7"/>
      <c r="C1" s="4"/>
      <c r="E1" s="2"/>
    </row>
    <row r="3" spans="1:6" ht="16">
      <c r="A3" s="11" t="s">
        <v>177</v>
      </c>
      <c r="B3" s="8"/>
    </row>
    <row r="4" spans="1:6" ht="24">
      <c r="A4" s="25" t="s">
        <v>76</v>
      </c>
      <c r="B4" s="26">
        <f>13.8/12*1.06</f>
        <v>1.2190000000000003</v>
      </c>
      <c r="C4" s="27">
        <f>(D4-B4)/D4</f>
        <v>0.46999999999999981</v>
      </c>
      <c r="D4" s="28">
        <v>2.2999999999999998</v>
      </c>
      <c r="E4" s="13">
        <f>cachet!$C$36</f>
        <v>-7</v>
      </c>
      <c r="F4" s="28">
        <f>D4*E4</f>
        <v>-16.099999999999998</v>
      </c>
    </row>
    <row r="5" spans="1:6" ht="24">
      <c r="A5" s="25" t="s">
        <v>3</v>
      </c>
      <c r="B5" s="26">
        <f>13.68/12*1.06</f>
        <v>1.2083999999999999</v>
      </c>
      <c r="C5" s="27">
        <f t="shared" ref="C5:C14" si="0">(D5-B5)/D5</f>
        <v>0.4746086956521739</v>
      </c>
      <c r="D5" s="28">
        <v>2.2999999999999998</v>
      </c>
      <c r="E5" s="13">
        <f>cachet!$D$36</f>
        <v>-8</v>
      </c>
      <c r="F5" s="28">
        <f t="shared" ref="F5:F91" si="1">D5*E5</f>
        <v>-18.399999999999999</v>
      </c>
    </row>
    <row r="6" spans="1:6" ht="24">
      <c r="A6" s="25" t="s">
        <v>213</v>
      </c>
      <c r="B6" s="26">
        <f>12.24/12*1.06</f>
        <v>1.0812000000000002</v>
      </c>
      <c r="C6" s="27">
        <f t="shared" si="0"/>
        <v>0.52991304347826074</v>
      </c>
      <c r="D6" s="28">
        <v>2.2999999999999998</v>
      </c>
      <c r="E6" s="13">
        <f>cachet!$E$36</f>
        <v>-6</v>
      </c>
      <c r="F6" s="28">
        <f t="shared" si="1"/>
        <v>-13.799999999999999</v>
      </c>
    </row>
    <row r="7" spans="1:6" ht="24">
      <c r="A7" s="25" t="s">
        <v>74</v>
      </c>
      <c r="B7" s="26">
        <f>12.96/12*1.06</f>
        <v>1.1448</v>
      </c>
      <c r="C7" s="27">
        <f t="shared" si="0"/>
        <v>0.50226086956521732</v>
      </c>
      <c r="D7" s="28">
        <v>2.2999999999999998</v>
      </c>
      <c r="E7" s="13">
        <f>cachet!$F$36</f>
        <v>-7</v>
      </c>
      <c r="F7" s="28">
        <f t="shared" si="1"/>
        <v>-16.099999999999998</v>
      </c>
    </row>
    <row r="8" spans="1:6">
      <c r="A8" s="25"/>
      <c r="B8" s="26"/>
      <c r="C8" s="27"/>
      <c r="D8" s="28"/>
      <c r="E8" s="13"/>
      <c r="F8" s="28"/>
    </row>
    <row r="9" spans="1:6" ht="24">
      <c r="A9" s="25" t="s">
        <v>214</v>
      </c>
      <c r="B9" s="26">
        <f>13.32/12*1.06</f>
        <v>1.1766000000000001</v>
      </c>
      <c r="C9" s="27">
        <f t="shared" si="0"/>
        <v>0.48843478260869555</v>
      </c>
      <c r="D9" s="28">
        <v>2.2999999999999998</v>
      </c>
      <c r="E9" s="13">
        <f>cachet!$G$36</f>
        <v>-3</v>
      </c>
      <c r="F9" s="28">
        <f t="shared" si="1"/>
        <v>-6.8999999999999995</v>
      </c>
    </row>
    <row r="10" spans="1:6" ht="24">
      <c r="A10" s="25" t="s">
        <v>75</v>
      </c>
      <c r="B10" s="26">
        <f>12.96/12*1.06</f>
        <v>1.1448</v>
      </c>
      <c r="C10" s="27">
        <f t="shared" si="0"/>
        <v>0.50226086956521732</v>
      </c>
      <c r="D10" s="28">
        <v>2.2999999999999998</v>
      </c>
      <c r="E10" s="13">
        <f>cachet!$H$36</f>
        <v>-10</v>
      </c>
      <c r="F10" s="28">
        <f t="shared" si="1"/>
        <v>-23</v>
      </c>
    </row>
    <row r="11" spans="1:6" ht="24">
      <c r="A11" s="25" t="s">
        <v>156</v>
      </c>
      <c r="B11" s="26">
        <f>12.12/12*1.06</f>
        <v>1.0706</v>
      </c>
      <c r="C11" s="27">
        <f t="shared" si="0"/>
        <v>0.53452173913043477</v>
      </c>
      <c r="D11" s="28">
        <v>2.2999999999999998</v>
      </c>
      <c r="E11" s="13">
        <f>cachet!$I$36</f>
        <v>-11</v>
      </c>
      <c r="F11" s="28">
        <f t="shared" si="1"/>
        <v>-25.299999999999997</v>
      </c>
    </row>
    <row r="12" spans="1:6" ht="24">
      <c r="A12" s="25" t="s">
        <v>84</v>
      </c>
      <c r="B12" s="26">
        <f>0.95*1.06</f>
        <v>1.0069999999999999</v>
      </c>
      <c r="C12" s="27">
        <f t="shared" si="0"/>
        <v>0.5621739130434783</v>
      </c>
      <c r="D12" s="28">
        <v>2.2999999999999998</v>
      </c>
      <c r="E12" s="13">
        <f>cachet!$J$36</f>
        <v>-4</v>
      </c>
      <c r="F12" s="28">
        <f t="shared" ref="F12:F13" si="2">D12*E12</f>
        <v>-9.1999999999999993</v>
      </c>
    </row>
    <row r="13" spans="1:6" ht="24">
      <c r="A13" s="25" t="s">
        <v>223</v>
      </c>
      <c r="B13" s="26">
        <f>0.92*1.06</f>
        <v>0.97520000000000007</v>
      </c>
      <c r="C13" s="27">
        <f t="shared" si="0"/>
        <v>0.57599999999999996</v>
      </c>
      <c r="D13" s="28">
        <v>2.2999999999999998</v>
      </c>
      <c r="E13" s="13">
        <f>cachet!$K$36</f>
        <v>-1</v>
      </c>
      <c r="F13" s="28">
        <f t="shared" si="2"/>
        <v>-2.2999999999999998</v>
      </c>
    </row>
    <row r="14" spans="1:6" ht="24">
      <c r="A14" s="25" t="s">
        <v>129</v>
      </c>
      <c r="B14" s="26">
        <f>1.03*1.06</f>
        <v>1.0918000000000001</v>
      </c>
      <c r="C14" s="27">
        <f t="shared" si="0"/>
        <v>0.52530434782608693</v>
      </c>
      <c r="D14" s="28">
        <v>2.2999999999999998</v>
      </c>
      <c r="E14" s="13">
        <f>cachet!$L$36</f>
        <v>-3</v>
      </c>
      <c r="F14" s="28">
        <f t="shared" ref="F14" si="3">D14*E14</f>
        <v>-6.8999999999999995</v>
      </c>
    </row>
    <row r="15" spans="1:6">
      <c r="A15" s="25"/>
      <c r="B15" s="26"/>
      <c r="C15" s="27"/>
      <c r="D15" s="28"/>
      <c r="E15" s="13"/>
      <c r="F15" s="28"/>
    </row>
    <row r="16" spans="1:6">
      <c r="A16" s="25" t="s">
        <v>4</v>
      </c>
      <c r="B16" s="26">
        <f>14.88/12*1.06</f>
        <v>1.3144</v>
      </c>
      <c r="C16" s="27">
        <f t="shared" ref="C16:C18" si="4">(D16-B16)/D16</f>
        <v>0.47423999999999999</v>
      </c>
      <c r="D16" s="28">
        <v>2.5</v>
      </c>
      <c r="E16" s="13">
        <f>cachet!$M$36</f>
        <v>-11</v>
      </c>
      <c r="F16" s="28">
        <f t="shared" si="1"/>
        <v>-27.5</v>
      </c>
    </row>
    <row r="17" spans="1:6" ht="24">
      <c r="A17" s="25" t="s">
        <v>139</v>
      </c>
      <c r="B17" s="26">
        <f>15.6/12*1.06</f>
        <v>1.3780000000000001</v>
      </c>
      <c r="C17" s="27">
        <f t="shared" si="4"/>
        <v>0.44879999999999998</v>
      </c>
      <c r="D17" s="28">
        <v>2.5</v>
      </c>
      <c r="E17" s="13">
        <f>cachet!$N$36</f>
        <v>-8</v>
      </c>
      <c r="F17" s="28">
        <f t="shared" si="1"/>
        <v>-20</v>
      </c>
    </row>
    <row r="18" spans="1:6">
      <c r="A18" s="25" t="s">
        <v>60</v>
      </c>
      <c r="B18" s="26">
        <f>13.56/12*1.06</f>
        <v>1.1978000000000002</v>
      </c>
      <c r="C18" s="27">
        <f t="shared" si="4"/>
        <v>0.5208799999999999</v>
      </c>
      <c r="D18" s="28">
        <v>2.5</v>
      </c>
      <c r="E18" s="13">
        <f>cachet!$O$36</f>
        <v>-1</v>
      </c>
      <c r="F18" s="28">
        <f t="shared" si="1"/>
        <v>-2.5</v>
      </c>
    </row>
    <row r="19" spans="1:6" ht="24">
      <c r="A19" s="25" t="s">
        <v>168</v>
      </c>
      <c r="B19" s="26">
        <f>12.6/12*1.06</f>
        <v>1.1130000000000002</v>
      </c>
      <c r="C19" s="27">
        <f t="shared" ref="C19:C21" si="5">(D19-B19)/D19</f>
        <v>0.55479999999999996</v>
      </c>
      <c r="D19" s="28">
        <v>2.5</v>
      </c>
      <c r="E19" s="13">
        <f>cachet!$P$36</f>
        <v>-9</v>
      </c>
      <c r="F19" s="28">
        <f t="shared" si="1"/>
        <v>-22.5</v>
      </c>
    </row>
    <row r="20" spans="1:6">
      <c r="A20" s="25" t="s">
        <v>5</v>
      </c>
      <c r="B20" s="26">
        <f>1.36*1.06</f>
        <v>1.4416000000000002</v>
      </c>
      <c r="C20" s="27">
        <f t="shared" si="5"/>
        <v>0.51946666666666663</v>
      </c>
      <c r="D20" s="28">
        <v>3</v>
      </c>
      <c r="E20" s="13">
        <f>cachet!$Q$36</f>
        <v>0</v>
      </c>
      <c r="F20" s="28">
        <f t="shared" si="1"/>
        <v>0</v>
      </c>
    </row>
    <row r="21" spans="1:6">
      <c r="A21" s="25" t="s">
        <v>147</v>
      </c>
      <c r="B21" s="26">
        <f>1.35*1.06</f>
        <v>1.4310000000000003</v>
      </c>
      <c r="C21" s="27">
        <f t="shared" si="5"/>
        <v>0.52299999999999991</v>
      </c>
      <c r="D21" s="28">
        <v>3</v>
      </c>
      <c r="E21" s="13">
        <f>cachet!$R$36</f>
        <v>-5</v>
      </c>
      <c r="F21" s="28">
        <f t="shared" si="1"/>
        <v>-15</v>
      </c>
    </row>
    <row r="22" spans="1:6">
      <c r="A22" s="25"/>
      <c r="B22" s="26"/>
      <c r="C22" s="27"/>
      <c r="D22" s="13"/>
      <c r="E22" s="13"/>
      <c r="F22" s="28"/>
    </row>
    <row r="23" spans="1:6">
      <c r="D23" s="1"/>
      <c r="F23" s="3"/>
    </row>
    <row r="24" spans="1:6" ht="16">
      <c r="A24" s="11" t="s">
        <v>176</v>
      </c>
      <c r="B24" s="8"/>
      <c r="D24" s="1"/>
      <c r="F24" s="3"/>
    </row>
    <row r="25" spans="1:6">
      <c r="A25" s="30" t="s">
        <v>100</v>
      </c>
      <c r="B25" s="29">
        <f>4.1*1.06</f>
        <v>4.3460000000000001</v>
      </c>
      <c r="C25" s="27">
        <f t="shared" ref="C25:C27" si="6">(D25-B25)/D25</f>
        <v>0.37914285714285711</v>
      </c>
      <c r="D25" s="28">
        <v>7</v>
      </c>
      <c r="E25" s="13"/>
      <c r="F25" s="28">
        <f t="shared" si="1"/>
        <v>0</v>
      </c>
    </row>
    <row r="26" spans="1:6">
      <c r="A26" s="30" t="s">
        <v>101</v>
      </c>
      <c r="B26" s="29">
        <f t="shared" ref="B26:B27" si="7">4.1*1.06</f>
        <v>4.3460000000000001</v>
      </c>
      <c r="C26" s="27">
        <f t="shared" si="6"/>
        <v>0.37914285714285711</v>
      </c>
      <c r="D26" s="28">
        <v>7</v>
      </c>
      <c r="E26" s="13"/>
      <c r="F26" s="28">
        <f t="shared" si="1"/>
        <v>0</v>
      </c>
    </row>
    <row r="27" spans="1:6">
      <c r="A27" s="30" t="s">
        <v>102</v>
      </c>
      <c r="B27" s="29">
        <f t="shared" si="7"/>
        <v>4.3460000000000001</v>
      </c>
      <c r="C27" s="27">
        <f t="shared" si="6"/>
        <v>0.37914285714285711</v>
      </c>
      <c r="D27" s="28">
        <v>7</v>
      </c>
      <c r="E27" s="13"/>
      <c r="F27" s="28">
        <f t="shared" si="1"/>
        <v>0</v>
      </c>
    </row>
    <row r="28" spans="1:6">
      <c r="A28" s="30" t="s">
        <v>145</v>
      </c>
      <c r="B28" s="29"/>
      <c r="C28" s="31"/>
      <c r="D28" s="28">
        <v>22</v>
      </c>
      <c r="E28" s="13"/>
      <c r="F28" s="28">
        <f t="shared" si="1"/>
        <v>0</v>
      </c>
    </row>
    <row r="29" spans="1:6">
      <c r="A29" s="30" t="s">
        <v>195</v>
      </c>
      <c r="B29" s="29"/>
      <c r="C29" s="31"/>
      <c r="D29" s="28">
        <v>9.5</v>
      </c>
      <c r="E29" s="13"/>
      <c r="F29" s="28">
        <f t="shared" si="1"/>
        <v>0</v>
      </c>
    </row>
    <row r="30" spans="1:6">
      <c r="A30" s="30" t="s">
        <v>69</v>
      </c>
      <c r="B30" s="29"/>
      <c r="C30" s="31"/>
      <c r="D30" s="28">
        <v>9.5</v>
      </c>
      <c r="E30" s="13"/>
      <c r="F30" s="28">
        <f t="shared" si="1"/>
        <v>0</v>
      </c>
    </row>
    <row r="31" spans="1:6">
      <c r="A31" s="30" t="s">
        <v>70</v>
      </c>
      <c r="B31" s="29"/>
      <c r="C31" s="31"/>
      <c r="D31" s="28">
        <f>6*D25</f>
        <v>42</v>
      </c>
      <c r="E31" s="13"/>
      <c r="F31" s="28">
        <f t="shared" si="1"/>
        <v>0</v>
      </c>
    </row>
    <row r="32" spans="1:6">
      <c r="A32" s="30" t="s">
        <v>71</v>
      </c>
      <c r="B32" s="29"/>
      <c r="C32" s="31"/>
      <c r="D32" s="28">
        <f t="shared" ref="D32:D33" si="8">6*D26</f>
        <v>42</v>
      </c>
      <c r="E32" s="13"/>
      <c r="F32" s="28">
        <f t="shared" si="1"/>
        <v>0</v>
      </c>
    </row>
    <row r="33" spans="1:6">
      <c r="A33" s="30" t="s">
        <v>95</v>
      </c>
      <c r="B33" s="29"/>
      <c r="C33" s="31"/>
      <c r="D33" s="28">
        <f t="shared" si="8"/>
        <v>42</v>
      </c>
      <c r="E33" s="13"/>
      <c r="F33" s="28">
        <f t="shared" si="1"/>
        <v>0</v>
      </c>
    </row>
    <row r="34" spans="1:6">
      <c r="A34" s="30" t="s">
        <v>231</v>
      </c>
      <c r="B34" s="29"/>
      <c r="C34" s="31"/>
      <c r="D34" s="28">
        <f>6*D29</f>
        <v>57</v>
      </c>
      <c r="E34" s="13"/>
      <c r="F34" s="28">
        <f t="shared" si="1"/>
        <v>0</v>
      </c>
    </row>
    <row r="35" spans="1:6">
      <c r="A35" s="30" t="s">
        <v>37</v>
      </c>
      <c r="B35" s="29"/>
      <c r="C35" s="31"/>
      <c r="D35" s="28">
        <f>6*D30</f>
        <v>57</v>
      </c>
      <c r="E35" s="13"/>
      <c r="F35" s="28">
        <f t="shared" si="1"/>
        <v>0</v>
      </c>
    </row>
    <row r="36" spans="1:6">
      <c r="A36" s="30"/>
      <c r="B36" s="29"/>
      <c r="C36" s="31"/>
      <c r="D36" s="28"/>
      <c r="E36" s="13"/>
      <c r="F36" s="28">
        <f t="shared" si="1"/>
        <v>0</v>
      </c>
    </row>
    <row r="37" spans="1:6">
      <c r="A37" s="30" t="s">
        <v>233</v>
      </c>
      <c r="B37" s="29">
        <v>2.8</v>
      </c>
      <c r="C37" s="27">
        <f t="shared" ref="C37:C38" si="9">(D37-B37)/D37</f>
        <v>0.20000000000000004</v>
      </c>
      <c r="D37" s="28">
        <v>3.5</v>
      </c>
      <c r="E37" s="13">
        <f>ROA!$H$36</f>
        <v>0</v>
      </c>
      <c r="F37" s="28">
        <f t="shared" si="1"/>
        <v>0</v>
      </c>
    </row>
    <row r="38" spans="1:6">
      <c r="A38" s="30" t="s">
        <v>98</v>
      </c>
      <c r="B38" s="29">
        <v>2.8</v>
      </c>
      <c r="C38" s="27">
        <f t="shared" si="9"/>
        <v>0.20000000000000004</v>
      </c>
      <c r="D38" s="28">
        <v>3.5</v>
      </c>
      <c r="E38" s="13">
        <f>ROA!$I$36</f>
        <v>1</v>
      </c>
      <c r="F38" s="28">
        <f t="shared" si="1"/>
        <v>3.5</v>
      </c>
    </row>
    <row r="39" spans="1:6">
      <c r="A39" s="30"/>
      <c r="B39" s="29"/>
      <c r="C39" s="31"/>
      <c r="D39" s="28"/>
      <c r="E39" s="13"/>
      <c r="F39" s="28"/>
    </row>
    <row r="40" spans="1:6">
      <c r="A40" s="30" t="s">
        <v>146</v>
      </c>
      <c r="B40" s="29"/>
      <c r="C40" s="31"/>
      <c r="D40" s="28">
        <v>4.5</v>
      </c>
      <c r="E40" s="13"/>
      <c r="F40" s="28">
        <f t="shared" si="1"/>
        <v>0</v>
      </c>
    </row>
    <row r="41" spans="1:6">
      <c r="A41" s="30" t="s">
        <v>215</v>
      </c>
      <c r="B41" s="29"/>
      <c r="C41" s="31"/>
      <c r="D41" s="28">
        <v>4.5</v>
      </c>
      <c r="E41" s="13"/>
      <c r="F41" s="28">
        <f t="shared" si="1"/>
        <v>0</v>
      </c>
    </row>
    <row r="42" spans="1:6">
      <c r="A42" s="30" t="s">
        <v>216</v>
      </c>
      <c r="B42" s="29"/>
      <c r="C42" s="31"/>
      <c r="D42" s="28">
        <v>4.5</v>
      </c>
      <c r="E42" s="13"/>
      <c r="F42" s="28">
        <f t="shared" si="1"/>
        <v>0</v>
      </c>
    </row>
    <row r="43" spans="1:6">
      <c r="D43" s="1"/>
      <c r="F43" s="3"/>
    </row>
    <row r="44" spans="1:6" ht="16">
      <c r="A44" s="11" t="s">
        <v>175</v>
      </c>
      <c r="B44" s="8"/>
      <c r="D44" s="3"/>
      <c r="F44" s="3"/>
    </row>
    <row r="45" spans="1:6">
      <c r="A45" s="12" t="s">
        <v>38</v>
      </c>
      <c r="D45" s="1"/>
      <c r="F45" s="3"/>
    </row>
    <row r="46" spans="1:6">
      <c r="A46" s="30" t="s">
        <v>174</v>
      </c>
      <c r="B46" s="29">
        <v>3.6</v>
      </c>
      <c r="C46" s="27">
        <f t="shared" ref="C46:C47" si="10">(D46-B46)/D46</f>
        <v>0.39999999999999997</v>
      </c>
      <c r="D46" s="28">
        <f>'[1]Huiles essentielles'!C4</f>
        <v>6</v>
      </c>
      <c r="E46" s="13">
        <v>0</v>
      </c>
      <c r="F46" s="28">
        <f t="shared" si="1"/>
        <v>0</v>
      </c>
    </row>
    <row r="47" spans="1:6">
      <c r="A47" s="30" t="s">
        <v>142</v>
      </c>
      <c r="B47" s="29">
        <v>6</v>
      </c>
      <c r="C47" s="27">
        <f t="shared" si="10"/>
        <v>0.4</v>
      </c>
      <c r="D47" s="28">
        <f>'[1]Huiles essentielles'!C5</f>
        <v>10</v>
      </c>
      <c r="E47" s="13">
        <v>0</v>
      </c>
      <c r="F47" s="28">
        <f t="shared" si="1"/>
        <v>0</v>
      </c>
    </row>
    <row r="48" spans="1:6">
      <c r="D48" s="3"/>
      <c r="F48" s="3"/>
    </row>
    <row r="49" spans="1:6" ht="16">
      <c r="A49" s="11" t="s">
        <v>178</v>
      </c>
      <c r="B49" s="8"/>
      <c r="D49" s="3"/>
      <c r="F49" s="3"/>
    </row>
    <row r="50" spans="1:6">
      <c r="A50" s="30" t="s">
        <v>224</v>
      </c>
      <c r="B50" s="29">
        <v>7.5</v>
      </c>
      <c r="C50" s="27">
        <f t="shared" ref="C50" si="11">(D50-B50)/D50</f>
        <v>0.25</v>
      </c>
      <c r="D50" s="28">
        <v>10</v>
      </c>
      <c r="E50" s="13">
        <f>LHEA!$C$36</f>
        <v>1</v>
      </c>
      <c r="F50" s="28">
        <f t="shared" si="1"/>
        <v>10</v>
      </c>
    </row>
    <row r="51" spans="1:6">
      <c r="D51" s="1"/>
      <c r="F51" s="3"/>
    </row>
    <row r="52" spans="1:6" ht="16">
      <c r="A52" s="11" t="s">
        <v>169</v>
      </c>
      <c r="B52" s="8"/>
      <c r="D52" s="1"/>
      <c r="F52" s="3"/>
    </row>
    <row r="53" spans="1:6">
      <c r="A53" s="30" t="s">
        <v>194</v>
      </c>
      <c r="B53" s="29"/>
      <c r="C53" s="31"/>
      <c r="D53" s="28"/>
      <c r="E53" s="13"/>
      <c r="F53" s="28"/>
    </row>
    <row r="54" spans="1:6">
      <c r="A54" s="30" t="s">
        <v>157</v>
      </c>
      <c r="B54" s="29"/>
      <c r="C54" s="31">
        <v>0.2</v>
      </c>
      <c r="D54" s="28">
        <v>4</v>
      </c>
      <c r="E54" s="13">
        <v>18</v>
      </c>
      <c r="F54" s="28">
        <f t="shared" si="1"/>
        <v>72</v>
      </c>
    </row>
    <row r="55" spans="1:6">
      <c r="A55" s="30" t="s">
        <v>158</v>
      </c>
      <c r="B55" s="29"/>
      <c r="C55" s="31">
        <v>0.2</v>
      </c>
      <c r="D55" s="28">
        <v>2.5</v>
      </c>
      <c r="E55" s="13">
        <v>5</v>
      </c>
      <c r="F55" s="28">
        <f t="shared" si="1"/>
        <v>12.5</v>
      </c>
    </row>
    <row r="56" spans="1:6">
      <c r="A56" s="30" t="s">
        <v>159</v>
      </c>
      <c r="B56" s="29"/>
      <c r="C56" s="31">
        <v>0.2</v>
      </c>
      <c r="D56" s="28">
        <v>1</v>
      </c>
      <c r="E56" s="13">
        <v>2</v>
      </c>
      <c r="F56" s="28">
        <f t="shared" si="1"/>
        <v>2</v>
      </c>
    </row>
    <row r="57" spans="1:6">
      <c r="A57" s="30" t="s">
        <v>107</v>
      </c>
      <c r="B57" s="29"/>
      <c r="C57" s="31">
        <v>0.2</v>
      </c>
      <c r="D57" s="28">
        <v>8</v>
      </c>
      <c r="E57" s="13">
        <v>8</v>
      </c>
      <c r="F57" s="28">
        <f t="shared" si="1"/>
        <v>64</v>
      </c>
    </row>
    <row r="58" spans="1:6">
      <c r="A58" s="30" t="s">
        <v>108</v>
      </c>
      <c r="B58" s="29"/>
      <c r="C58" s="31"/>
      <c r="D58" s="28">
        <v>6</v>
      </c>
      <c r="E58" s="13">
        <v>2</v>
      </c>
      <c r="F58" s="28">
        <f t="shared" si="1"/>
        <v>12</v>
      </c>
    </row>
    <row r="59" spans="1:6">
      <c r="A59" s="30" t="s">
        <v>108</v>
      </c>
      <c r="B59" s="29"/>
      <c r="C59" s="31"/>
      <c r="D59" s="28">
        <v>4</v>
      </c>
      <c r="E59" s="13">
        <v>1</v>
      </c>
      <c r="F59" s="28">
        <f t="shared" si="1"/>
        <v>4</v>
      </c>
    </row>
    <row r="60" spans="1:6">
      <c r="F60" s="3"/>
    </row>
    <row r="61" spans="1:6" ht="16">
      <c r="A61" s="11" t="s">
        <v>111</v>
      </c>
      <c r="B61" s="14"/>
      <c r="F61" s="3"/>
    </row>
    <row r="62" spans="1:6">
      <c r="A62" s="30" t="s">
        <v>112</v>
      </c>
      <c r="B62" s="29">
        <v>7.5</v>
      </c>
      <c r="C62" s="27">
        <f t="shared" ref="C62:C63" si="12">(D62-B62)/D62</f>
        <v>0.25</v>
      </c>
      <c r="D62" s="28">
        <v>10</v>
      </c>
      <c r="E62" s="13">
        <f>tack!$C$36</f>
        <v>5</v>
      </c>
      <c r="F62" s="28">
        <f t="shared" si="1"/>
        <v>50</v>
      </c>
    </row>
    <row r="63" spans="1:6">
      <c r="A63" s="30" t="s">
        <v>230</v>
      </c>
      <c r="B63" s="29">
        <v>9.5</v>
      </c>
      <c r="C63" s="27">
        <f t="shared" si="12"/>
        <v>0.32142857142857145</v>
      </c>
      <c r="D63" s="28">
        <v>14</v>
      </c>
      <c r="E63" s="13">
        <f>tack!$D$36</f>
        <v>1</v>
      </c>
      <c r="F63" s="28">
        <f t="shared" si="1"/>
        <v>14</v>
      </c>
    </row>
    <row r="64" spans="1:6">
      <c r="B64" s="14"/>
      <c r="F64" s="3"/>
    </row>
    <row r="65" spans="1:6" ht="16">
      <c r="A65" s="11" t="s">
        <v>28</v>
      </c>
      <c r="B65" s="8"/>
      <c r="F65" s="3"/>
    </row>
    <row r="66" spans="1:6">
      <c r="A66" s="30" t="s">
        <v>6</v>
      </c>
      <c r="B66" s="29">
        <v>1</v>
      </c>
      <c r="C66" s="27">
        <f t="shared" ref="C66:C68" si="13">(D66-B66)/D66</f>
        <v>0.6</v>
      </c>
      <c r="D66" s="28">
        <f>[1]Sirops!C4</f>
        <v>2.5</v>
      </c>
      <c r="E66" s="13">
        <f>sirops!$C$36</f>
        <v>1</v>
      </c>
      <c r="F66" s="28">
        <f t="shared" si="1"/>
        <v>2.5</v>
      </c>
    </row>
    <row r="67" spans="1:6">
      <c r="A67" s="30" t="s">
        <v>133</v>
      </c>
      <c r="B67" s="29">
        <v>1</v>
      </c>
      <c r="C67" s="27">
        <f t="shared" si="13"/>
        <v>0.6</v>
      </c>
      <c r="D67" s="28">
        <f>[1]Sirops!C5</f>
        <v>2.5</v>
      </c>
      <c r="E67" s="13">
        <f>sirops!$D$36</f>
        <v>4</v>
      </c>
      <c r="F67" s="28">
        <f t="shared" ref="F67:F69" si="14">D67*E67</f>
        <v>10</v>
      </c>
    </row>
    <row r="68" spans="1:6">
      <c r="A68" s="30" t="s">
        <v>134</v>
      </c>
      <c r="B68" s="29">
        <v>1</v>
      </c>
      <c r="C68" s="27">
        <f t="shared" si="13"/>
        <v>0.6</v>
      </c>
      <c r="D68" s="28">
        <f>[1]Sirops!C6</f>
        <v>2.5</v>
      </c>
      <c r="E68" s="13">
        <f>sirops!$E$36</f>
        <v>5</v>
      </c>
      <c r="F68" s="28">
        <f t="shared" si="14"/>
        <v>12.5</v>
      </c>
    </row>
    <row r="69" spans="1:6">
      <c r="A69" s="30" t="s">
        <v>135</v>
      </c>
      <c r="B69" s="29">
        <v>1</v>
      </c>
      <c r="C69" s="27">
        <f>(D69-B69)/D69</f>
        <v>0.6</v>
      </c>
      <c r="D69" s="28">
        <f>[1]Sirops!C7</f>
        <v>2.5</v>
      </c>
      <c r="E69" s="13">
        <f>sirops!$F$36</f>
        <v>2</v>
      </c>
      <c r="F69" s="28">
        <f t="shared" si="14"/>
        <v>5</v>
      </c>
    </row>
    <row r="70" spans="1:6">
      <c r="A70" s="30" t="s">
        <v>99</v>
      </c>
      <c r="B70" s="29"/>
      <c r="C70" s="31">
        <v>0.35</v>
      </c>
      <c r="D70" s="28">
        <v>3.5</v>
      </c>
      <c r="E70" s="13">
        <v>3</v>
      </c>
      <c r="F70" s="28">
        <f t="shared" si="1"/>
        <v>10.5</v>
      </c>
    </row>
    <row r="71" spans="1:6">
      <c r="A71" s="30" t="s">
        <v>188</v>
      </c>
      <c r="B71" s="29"/>
      <c r="C71" s="31">
        <v>0.35</v>
      </c>
      <c r="D71" s="28">
        <v>3.5</v>
      </c>
      <c r="E71" s="13">
        <v>2</v>
      </c>
      <c r="F71" s="28">
        <f t="shared" si="1"/>
        <v>7</v>
      </c>
    </row>
    <row r="72" spans="1:6">
      <c r="A72" s="30" t="s">
        <v>140</v>
      </c>
      <c r="B72" s="29"/>
      <c r="C72" s="31">
        <v>0.35</v>
      </c>
      <c r="D72" s="28">
        <v>3.5</v>
      </c>
      <c r="E72" s="13">
        <v>2</v>
      </c>
      <c r="F72" s="28">
        <f t="shared" si="1"/>
        <v>7</v>
      </c>
    </row>
    <row r="73" spans="1:6">
      <c r="A73" s="30" t="s">
        <v>141</v>
      </c>
      <c r="B73" s="29"/>
      <c r="C73" s="31">
        <v>0.35</v>
      </c>
      <c r="D73" s="28">
        <v>3.5</v>
      </c>
      <c r="E73" s="13">
        <v>3</v>
      </c>
      <c r="F73" s="28">
        <f t="shared" si="1"/>
        <v>10.5</v>
      </c>
    </row>
    <row r="74" spans="1:6">
      <c r="A74" s="30" t="s">
        <v>113</v>
      </c>
      <c r="B74" s="29"/>
      <c r="C74" s="31">
        <v>0.35</v>
      </c>
      <c r="D74" s="28">
        <v>3.5</v>
      </c>
      <c r="E74" s="13">
        <v>2</v>
      </c>
      <c r="F74" s="28">
        <f t="shared" si="1"/>
        <v>7</v>
      </c>
    </row>
    <row r="75" spans="1:6">
      <c r="A75" s="30" t="s">
        <v>114</v>
      </c>
      <c r="B75" s="29"/>
      <c r="C75" s="31">
        <v>0.35</v>
      </c>
      <c r="D75" s="28">
        <v>3.5</v>
      </c>
      <c r="E75" s="13">
        <v>5</v>
      </c>
      <c r="F75" s="28">
        <f t="shared" si="1"/>
        <v>17.5</v>
      </c>
    </row>
    <row r="76" spans="1:6">
      <c r="A76" s="30" t="s">
        <v>115</v>
      </c>
      <c r="B76" s="29"/>
      <c r="C76" s="31">
        <v>0.35</v>
      </c>
      <c r="D76" s="28">
        <v>3.5</v>
      </c>
      <c r="E76" s="13">
        <v>5</v>
      </c>
      <c r="F76" s="28">
        <f t="shared" si="1"/>
        <v>17.5</v>
      </c>
    </row>
    <row r="77" spans="1:6">
      <c r="D77" s="3"/>
      <c r="F77" s="3"/>
    </row>
    <row r="79" spans="1:6">
      <c r="A79" s="30" t="s">
        <v>225</v>
      </c>
      <c r="B79" s="29">
        <f>[2]Sheet1!$F$4</f>
        <v>1.3375999999999999</v>
      </c>
      <c r="C79" s="27">
        <f t="shared" ref="C79:C102" si="15">(D79-B79)/D79</f>
        <v>0.64799999999999991</v>
      </c>
      <c r="D79" s="32">
        <f>[2]Sheet1!$H$4</f>
        <v>3.8</v>
      </c>
      <c r="E79" s="13">
        <f>thes!$C$36</f>
        <v>3</v>
      </c>
      <c r="F79" s="28">
        <f t="shared" si="1"/>
        <v>11.399999999999999</v>
      </c>
    </row>
    <row r="80" spans="1:6">
      <c r="A80" s="30" t="s">
        <v>226</v>
      </c>
      <c r="B80" s="29">
        <f>[2]Sheet1!$F$5</f>
        <v>0.87119999999999997</v>
      </c>
      <c r="C80" s="27">
        <f t="shared" si="15"/>
        <v>0.65151999999999999</v>
      </c>
      <c r="D80" s="32">
        <f>[2]Sheet1!$H$5</f>
        <v>2.5</v>
      </c>
      <c r="E80" s="13">
        <f>thes!$D$36</f>
        <v>0</v>
      </c>
      <c r="F80" s="28">
        <f t="shared" si="1"/>
        <v>0</v>
      </c>
    </row>
    <row r="81" spans="1:6">
      <c r="A81" s="30" t="s">
        <v>227</v>
      </c>
      <c r="B81" s="29">
        <f>[2]Sheet1!$F$6</f>
        <v>1.3815999999999999</v>
      </c>
      <c r="C81" s="27">
        <f t="shared" si="15"/>
        <v>0.65460000000000007</v>
      </c>
      <c r="D81" s="32">
        <f>[2]Sheet1!$H$6</f>
        <v>4</v>
      </c>
      <c r="E81" s="13">
        <f>thes!$E$36</f>
        <v>6</v>
      </c>
      <c r="F81" s="28">
        <f t="shared" si="1"/>
        <v>24</v>
      </c>
    </row>
    <row r="82" spans="1:6">
      <c r="A82" s="30" t="s">
        <v>228</v>
      </c>
      <c r="B82" s="29">
        <f>[2]Sheet1!$F$7</f>
        <v>1.276</v>
      </c>
      <c r="C82" s="27">
        <f t="shared" si="15"/>
        <v>0.66421052631578947</v>
      </c>
      <c r="D82" s="32">
        <f>[2]Sheet1!$H$7</f>
        <v>3.8</v>
      </c>
      <c r="E82" s="13">
        <f>thes!$F$36</f>
        <v>0</v>
      </c>
      <c r="F82" s="28">
        <f t="shared" si="1"/>
        <v>0</v>
      </c>
    </row>
    <row r="83" spans="1:6">
      <c r="A83" s="30" t="str">
        <f>[2]Sheet1!A8</f>
        <v>Green tea Chummee</v>
      </c>
      <c r="B83" s="29">
        <f>[2]Sheet1!$F$8</f>
        <v>1.1792</v>
      </c>
      <c r="C83" s="27">
        <f t="shared" si="15"/>
        <v>0.65317647058823525</v>
      </c>
      <c r="D83" s="32">
        <f>[2]Sheet1!$H$8</f>
        <v>3.4</v>
      </c>
      <c r="E83" s="13">
        <f>thes!$G$36</f>
        <v>3</v>
      </c>
      <c r="F83" s="28">
        <f t="shared" si="1"/>
        <v>10.199999999999999</v>
      </c>
    </row>
    <row r="84" spans="1:6">
      <c r="A84" s="30" t="s">
        <v>204</v>
      </c>
      <c r="B84" s="29">
        <f>[2]Sheet1!$F$9</f>
        <v>1.452</v>
      </c>
      <c r="C84" s="27">
        <f t="shared" si="15"/>
        <v>0.65428571428571436</v>
      </c>
      <c r="D84" s="32">
        <f>[2]Sheet1!$H$9</f>
        <v>4.2</v>
      </c>
      <c r="E84" s="13">
        <f>thes!$H$36</f>
        <v>2</v>
      </c>
      <c r="F84" s="28">
        <f t="shared" si="1"/>
        <v>8.4</v>
      </c>
    </row>
    <row r="85" spans="1:6">
      <c r="A85" s="30" t="s">
        <v>171</v>
      </c>
      <c r="B85" s="29">
        <f>[2]Sheet1!$F$10</f>
        <v>1.3375999999999999</v>
      </c>
      <c r="C85" s="27">
        <f t="shared" si="15"/>
        <v>0.64799999999999991</v>
      </c>
      <c r="D85" s="32">
        <f>[2]Sheet1!$H$10</f>
        <v>3.8</v>
      </c>
      <c r="E85" s="13">
        <f>thes!$I$36</f>
        <v>3</v>
      </c>
      <c r="F85" s="28">
        <f t="shared" si="1"/>
        <v>11.399999999999999</v>
      </c>
    </row>
    <row r="86" spans="1:6">
      <c r="A86" s="30" t="s">
        <v>172</v>
      </c>
      <c r="B86" s="29">
        <f>[2]Sheet1!$F$11</f>
        <v>1.5048000000000001</v>
      </c>
      <c r="C86" s="27">
        <f t="shared" si="15"/>
        <v>0.65799999999999992</v>
      </c>
      <c r="D86" s="32">
        <f>[2]Sheet1!$H$11</f>
        <v>4.4000000000000004</v>
      </c>
      <c r="E86" s="13">
        <f>thes!$J$36</f>
        <v>1</v>
      </c>
      <c r="F86" s="28">
        <f t="shared" si="1"/>
        <v>4.4000000000000004</v>
      </c>
    </row>
    <row r="87" spans="1:6">
      <c r="A87" s="30" t="s">
        <v>173</v>
      </c>
      <c r="B87" s="29">
        <f>[2]Sheet1!$F$12</f>
        <v>2.0504000000000002</v>
      </c>
      <c r="C87" s="27">
        <f t="shared" si="15"/>
        <v>0.65826666666666667</v>
      </c>
      <c r="D87" s="32">
        <f>[2]Sheet1!$H$12</f>
        <v>6</v>
      </c>
      <c r="E87" s="13">
        <f>thes!$K$36</f>
        <v>3</v>
      </c>
      <c r="F87" s="28">
        <f>D87*E87</f>
        <v>18</v>
      </c>
    </row>
    <row r="88" spans="1:6">
      <c r="A88" s="30" t="s">
        <v>87</v>
      </c>
      <c r="B88" s="29">
        <f>[2]Sheet1!$F$13</f>
        <v>1.6543999999999999</v>
      </c>
      <c r="C88" s="27">
        <f t="shared" si="15"/>
        <v>0.65533333333333332</v>
      </c>
      <c r="D88" s="32">
        <f>[2]Sheet1!$H$13</f>
        <v>4.8</v>
      </c>
      <c r="E88" s="13">
        <f>thes!$L$36</f>
        <v>1</v>
      </c>
      <c r="F88" s="28">
        <f t="shared" si="1"/>
        <v>4.8</v>
      </c>
    </row>
    <row r="89" spans="1:6">
      <c r="A89" s="30" t="s">
        <v>88</v>
      </c>
      <c r="B89" s="29">
        <f>[2]Sheet1!$F$14</f>
        <v>1.5575999999999999</v>
      </c>
      <c r="C89" s="27">
        <f t="shared" si="15"/>
        <v>0.65386666666666671</v>
      </c>
      <c r="D89" s="32">
        <f>[2]Sheet1!$H$14</f>
        <v>4.5</v>
      </c>
      <c r="E89" s="13">
        <f>thes!$M$36</f>
        <v>2</v>
      </c>
      <c r="F89" s="28">
        <f>D89*E89</f>
        <v>9</v>
      </c>
    </row>
    <row r="90" spans="1:6">
      <c r="A90" s="30" t="s">
        <v>89</v>
      </c>
      <c r="B90" s="29">
        <f>[2]Sheet1!$F$15</f>
        <v>0.6306666666666666</v>
      </c>
      <c r="C90" s="27">
        <f t="shared" si="15"/>
        <v>0.68466666666666676</v>
      </c>
      <c r="D90" s="32">
        <f>[2]Sheet1!$H$15</f>
        <v>2</v>
      </c>
      <c r="E90" s="13">
        <f>thes!$N$36</f>
        <v>2</v>
      </c>
      <c r="F90" s="28">
        <f>D90*E90</f>
        <v>4</v>
      </c>
    </row>
    <row r="91" spans="1:6">
      <c r="A91" s="30" t="s">
        <v>90</v>
      </c>
      <c r="B91" s="29">
        <f>[2]Sheet1!$F$16</f>
        <v>1.0706666666666667</v>
      </c>
      <c r="C91" s="27">
        <f t="shared" si="15"/>
        <v>0.66541666666666666</v>
      </c>
      <c r="D91" s="32">
        <f>[2]Sheet1!$H$16</f>
        <v>3.2</v>
      </c>
      <c r="E91" s="13">
        <f>thes!$O$36</f>
        <v>5</v>
      </c>
      <c r="F91" s="28">
        <f t="shared" si="1"/>
        <v>16</v>
      </c>
    </row>
    <row r="92" spans="1:6">
      <c r="A92" s="30" t="s">
        <v>91</v>
      </c>
      <c r="B92" s="29">
        <f>[2]Sheet1!$F$17</f>
        <v>1.276</v>
      </c>
      <c r="C92" s="27">
        <f t="shared" si="15"/>
        <v>0.68100000000000005</v>
      </c>
      <c r="D92" s="32">
        <f>[2]Sheet1!$H$17</f>
        <v>4</v>
      </c>
      <c r="E92" s="13">
        <f>thes!$P$36</f>
        <v>3</v>
      </c>
      <c r="F92" s="28">
        <f>D92*E92</f>
        <v>12</v>
      </c>
    </row>
    <row r="93" spans="1:6">
      <c r="A93" s="30" t="s">
        <v>92</v>
      </c>
      <c r="B93" s="29">
        <f>[2]Sheet1!$F$18</f>
        <v>0.67320000000000002</v>
      </c>
      <c r="C93" s="27">
        <f t="shared" si="15"/>
        <v>0.73072000000000004</v>
      </c>
      <c r="D93" s="32">
        <f>[2]Sheet1!$H$18</f>
        <v>2.5</v>
      </c>
      <c r="E93" s="13">
        <f>thes!$Q$36</f>
        <v>-1</v>
      </c>
      <c r="F93" s="28">
        <f>D93*E93</f>
        <v>-2.5</v>
      </c>
    </row>
    <row r="94" spans="1:6">
      <c r="A94" s="30" t="s">
        <v>93</v>
      </c>
      <c r="B94" s="29">
        <f>[2]Sheet1!$F19</f>
        <v>0.47299999999999998</v>
      </c>
      <c r="C94" s="27">
        <f t="shared" si="15"/>
        <v>0.68466666666666676</v>
      </c>
      <c r="D94" s="32">
        <f>[2]Sheet1!$H$19</f>
        <v>1.5</v>
      </c>
      <c r="E94" s="13">
        <f>thes!$R$36</f>
        <v>-1</v>
      </c>
      <c r="F94" s="28">
        <f>D94*E94</f>
        <v>-1.5</v>
      </c>
    </row>
    <row r="95" spans="1:6">
      <c r="A95" s="12" t="s">
        <v>123</v>
      </c>
      <c r="B95" s="29">
        <f>[2]Sheet1!$F20</f>
        <v>1.55</v>
      </c>
      <c r="C95" s="27">
        <f t="shared" ref="C95" si="16">(D95-B95)/D95</f>
        <v>0.64772727272727282</v>
      </c>
      <c r="D95" s="32">
        <f>[2]Sheet1!$H$20</f>
        <v>4.4000000000000004</v>
      </c>
      <c r="E95">
        <f>thes!$S$36</f>
        <v>1</v>
      </c>
      <c r="F95" s="28">
        <f>D95*E95</f>
        <v>4.4000000000000004</v>
      </c>
    </row>
    <row r="96" spans="1:6">
      <c r="A96" s="30" t="s">
        <v>109</v>
      </c>
      <c r="B96" s="29">
        <f>[2]Sheet1!$F21</f>
        <v>0.68200000000000005</v>
      </c>
      <c r="C96" s="27">
        <f t="shared" si="15"/>
        <v>0.65900000000000003</v>
      </c>
      <c r="D96" s="32">
        <f>[2]Sheet1!$H$21</f>
        <v>2</v>
      </c>
      <c r="E96" s="13">
        <f>epices!$C$36</f>
        <v>2</v>
      </c>
      <c r="F96" s="28">
        <f>D96*E96</f>
        <v>4</v>
      </c>
    </row>
    <row r="97" spans="1:6">
      <c r="A97" s="30" t="s">
        <v>180</v>
      </c>
      <c r="B97" s="29">
        <f>[2]Sheet1!$F22</f>
        <v>1.8260000000000003</v>
      </c>
      <c r="C97" s="27">
        <f t="shared" si="15"/>
        <v>0.63479999999999992</v>
      </c>
      <c r="D97" s="32">
        <f>[2]Sheet1!$H$22</f>
        <v>5</v>
      </c>
      <c r="E97" s="13">
        <f>epices!$D$36</f>
        <v>4</v>
      </c>
      <c r="F97" s="28">
        <f t="shared" ref="F97:F113" si="17">D97*E97</f>
        <v>20</v>
      </c>
    </row>
    <row r="98" spans="1:6">
      <c r="A98" s="30" t="s">
        <v>17</v>
      </c>
      <c r="B98" s="29">
        <f>[2]Sheet1!$F23</f>
        <v>0.44</v>
      </c>
      <c r="C98" s="27">
        <f t="shared" si="15"/>
        <v>0.72500000000000009</v>
      </c>
      <c r="D98" s="32">
        <f>[2]Sheet1!$H$23</f>
        <v>1.6</v>
      </c>
      <c r="E98" s="13">
        <f>epices!$E$36</f>
        <v>5</v>
      </c>
      <c r="F98" s="28">
        <f t="shared" si="17"/>
        <v>8</v>
      </c>
    </row>
    <row r="99" spans="1:6">
      <c r="A99" s="30" t="s">
        <v>18</v>
      </c>
      <c r="B99" s="29">
        <f>[2]Sheet1!$F24</f>
        <v>0.60133333333333328</v>
      </c>
      <c r="C99" s="27">
        <f t="shared" si="15"/>
        <v>0.69933333333333336</v>
      </c>
      <c r="D99" s="32">
        <f>[2]Sheet1!$H$24</f>
        <v>2</v>
      </c>
      <c r="E99" s="13">
        <f>epices!$F$36</f>
        <v>4</v>
      </c>
      <c r="F99" s="28">
        <f t="shared" si="17"/>
        <v>8</v>
      </c>
    </row>
    <row r="100" spans="1:6">
      <c r="A100" s="30" t="s">
        <v>19</v>
      </c>
      <c r="B100" s="29">
        <f>[2]Sheet1!$F25</f>
        <v>0.6160000000000001</v>
      </c>
      <c r="C100" s="27">
        <f t="shared" si="15"/>
        <v>0.69199999999999995</v>
      </c>
      <c r="D100" s="32">
        <f>[2]Sheet1!$H$25</f>
        <v>2</v>
      </c>
      <c r="E100" s="13">
        <f>epices!$G$36</f>
        <v>2</v>
      </c>
      <c r="F100" s="28">
        <f t="shared" si="17"/>
        <v>4</v>
      </c>
    </row>
    <row r="101" spans="1:6">
      <c r="A101" s="30" t="s">
        <v>20</v>
      </c>
      <c r="B101" s="29">
        <f>[2]Sheet1!$F26</f>
        <v>1.21</v>
      </c>
      <c r="C101" s="27">
        <f t="shared" si="15"/>
        <v>0.66388888888888886</v>
      </c>
      <c r="D101" s="32">
        <f>[2]Sheet1!$H$26</f>
        <v>3.6</v>
      </c>
      <c r="E101" s="13">
        <f>epices!$H$36</f>
        <v>5</v>
      </c>
      <c r="F101" s="28">
        <f t="shared" si="17"/>
        <v>18</v>
      </c>
    </row>
    <row r="102" spans="1:6">
      <c r="A102" s="30" t="s">
        <v>201</v>
      </c>
      <c r="B102" s="29">
        <f>[2]Sheet1!$F27</f>
        <v>0.64679999999999993</v>
      </c>
      <c r="C102" s="27">
        <f t="shared" si="15"/>
        <v>0.70600000000000007</v>
      </c>
      <c r="D102" s="32">
        <f>[2]Sheet1!$H27</f>
        <v>2.2000000000000002</v>
      </c>
      <c r="E102" s="13">
        <f>epices!$I$36</f>
        <v>5</v>
      </c>
      <c r="F102" s="28">
        <f t="shared" si="17"/>
        <v>11</v>
      </c>
    </row>
    <row r="103" spans="1:6">
      <c r="A103" s="30" t="s">
        <v>50</v>
      </c>
      <c r="B103" s="29">
        <f>[2]Sheet1!$F28</f>
        <v>0.495</v>
      </c>
      <c r="C103" s="27">
        <f t="shared" ref="C103" si="18">(D103-B103)/D103</f>
        <v>0.80199999999999994</v>
      </c>
      <c r="D103" s="32">
        <f>[2]Sheet1!$H28</f>
        <v>2.5</v>
      </c>
      <c r="E103" s="13">
        <f>epices!$J$36</f>
        <v>4</v>
      </c>
      <c r="F103" s="28">
        <f t="shared" ref="F103" si="19">D103*E103</f>
        <v>10</v>
      </c>
    </row>
    <row r="104" spans="1:6">
      <c r="A104" s="30" t="s">
        <v>46</v>
      </c>
      <c r="B104" s="29">
        <f>[2]Sheet1!$F29</f>
        <v>0.33879999999999999</v>
      </c>
      <c r="C104" s="27">
        <f t="shared" ref="C104" si="20">(D104-B104)/D104</f>
        <v>0.66120000000000001</v>
      </c>
      <c r="D104" s="32">
        <f>[2]Sheet1!$H29</f>
        <v>1</v>
      </c>
      <c r="E104" s="13">
        <f>epices!$K$36</f>
        <v>4</v>
      </c>
      <c r="F104" s="28">
        <f t="shared" si="17"/>
        <v>4</v>
      </c>
    </row>
    <row r="105" spans="1:6">
      <c r="A105" s="30" t="s">
        <v>47</v>
      </c>
      <c r="B105" s="29">
        <f>[2]Sheet1!$F30</f>
        <v>1.0999999999999999</v>
      </c>
      <c r="C105" s="27">
        <f t="shared" ref="C105:C110" si="21">(D105-B105)/D105</f>
        <v>0.60714285714285721</v>
      </c>
      <c r="D105" s="32">
        <f>[2]Sheet1!$H30</f>
        <v>2.8</v>
      </c>
      <c r="E105" s="13">
        <f>epices!$L$36</f>
        <v>3</v>
      </c>
      <c r="F105" s="28">
        <f t="shared" si="17"/>
        <v>8.3999999999999986</v>
      </c>
    </row>
    <row r="106" spans="1:6">
      <c r="A106" s="30" t="s">
        <v>48</v>
      </c>
      <c r="B106" s="29">
        <f>[2]Sheet1!$F31</f>
        <v>0.59399999999999997</v>
      </c>
      <c r="C106" s="27">
        <f t="shared" si="21"/>
        <v>0.70300000000000007</v>
      </c>
      <c r="D106" s="32">
        <f>[2]Sheet1!$H31</f>
        <v>2</v>
      </c>
      <c r="E106" s="13">
        <f>epices!$M$36</f>
        <v>1</v>
      </c>
      <c r="F106" s="28">
        <f t="shared" si="17"/>
        <v>2</v>
      </c>
    </row>
    <row r="107" spans="1:6">
      <c r="A107" s="30" t="s">
        <v>49</v>
      </c>
      <c r="B107" s="29">
        <f>[2]Sheet1!$F32</f>
        <v>0.85285714285714276</v>
      </c>
      <c r="C107" s="27">
        <f t="shared" si="21"/>
        <v>0.81047619047619046</v>
      </c>
      <c r="D107" s="32">
        <f>[2]Sheet1!$H32</f>
        <v>4.5</v>
      </c>
      <c r="E107" s="13">
        <f>epices!$N$36</f>
        <v>2</v>
      </c>
      <c r="F107" s="28">
        <f t="shared" si="17"/>
        <v>9</v>
      </c>
    </row>
    <row r="108" spans="1:6">
      <c r="A108" s="30" t="s">
        <v>22</v>
      </c>
      <c r="B108" s="29">
        <f>[2]Sheet1!$F33</f>
        <v>0.31500000000000006</v>
      </c>
      <c r="C108" s="27">
        <f t="shared" si="21"/>
        <v>0.73749999999999993</v>
      </c>
      <c r="D108" s="32">
        <f>[2]Sheet1!$H33</f>
        <v>1.2</v>
      </c>
      <c r="E108" s="13">
        <f>epices!$O$36</f>
        <v>5</v>
      </c>
      <c r="F108" s="28">
        <f t="shared" si="17"/>
        <v>6</v>
      </c>
    </row>
    <row r="109" spans="1:6">
      <c r="A109" s="30"/>
      <c r="B109" s="29"/>
      <c r="C109" s="27"/>
      <c r="D109" s="32"/>
      <c r="E109" s="13"/>
      <c r="F109" s="28"/>
    </row>
    <row r="110" spans="1:6">
      <c r="A110" s="30" t="s">
        <v>160</v>
      </c>
      <c r="B110" s="29">
        <f>[2]Sheet1!$F35</f>
        <v>0.90369428571428578</v>
      </c>
      <c r="C110" s="27">
        <f t="shared" si="21"/>
        <v>0.76218571428571424</v>
      </c>
      <c r="D110" s="32">
        <f>[2]Sheet1!$H35</f>
        <v>3.8</v>
      </c>
      <c r="E110" s="13">
        <f>epices!$P$36</f>
        <v>4</v>
      </c>
      <c r="F110" s="28">
        <f>D110*E110</f>
        <v>15.2</v>
      </c>
    </row>
    <row r="111" spans="1:6">
      <c r="A111" s="30"/>
      <c r="B111" s="29"/>
      <c r="C111" s="31"/>
      <c r="D111" s="13"/>
      <c r="E111" s="13"/>
      <c r="F111" s="13"/>
    </row>
    <row r="112" spans="1:6">
      <c r="A112" s="30" t="s">
        <v>96</v>
      </c>
      <c r="B112" s="29"/>
      <c r="C112" s="31"/>
      <c r="D112" s="29">
        <v>3.5</v>
      </c>
      <c r="E112" s="13"/>
      <c r="F112" s="28">
        <f t="shared" si="17"/>
        <v>0</v>
      </c>
    </row>
    <row r="113" spans="1:9">
      <c r="A113" s="30" t="s">
        <v>13</v>
      </c>
      <c r="B113" s="29"/>
      <c r="C113" s="31"/>
      <c r="D113" s="29">
        <v>3</v>
      </c>
      <c r="E113" s="13"/>
      <c r="F113" s="28">
        <f t="shared" si="17"/>
        <v>0</v>
      </c>
    </row>
    <row r="114" spans="1:9">
      <c r="D114" s="6"/>
    </row>
    <row r="115" spans="1:9" ht="16">
      <c r="A115" s="30" t="s">
        <v>189</v>
      </c>
      <c r="B115" s="91">
        <v>0.47</v>
      </c>
      <c r="C115" s="98">
        <f t="shared" ref="C115:C118" si="22">(D115-B115)/D115</f>
        <v>0.76500000000000001</v>
      </c>
      <c r="D115" s="91">
        <v>2</v>
      </c>
      <c r="E115" s="99">
        <f>infuseurs!$C$36</f>
        <v>39</v>
      </c>
      <c r="F115" s="28">
        <f>D115*E115</f>
        <v>78</v>
      </c>
      <c r="G115" s="100"/>
      <c r="H115" s="91">
        <f>B115*G115</f>
        <v>0</v>
      </c>
      <c r="I115" s="13"/>
    </row>
    <row r="116" spans="1:9" ht="16">
      <c r="A116" s="30" t="s">
        <v>190</v>
      </c>
      <c r="B116" s="91">
        <v>0.89</v>
      </c>
      <c r="C116" s="98">
        <f t="shared" si="22"/>
        <v>0.77749999999999997</v>
      </c>
      <c r="D116" s="91">
        <v>4</v>
      </c>
      <c r="E116" s="99">
        <f>infuseurs!$D$36</f>
        <v>7</v>
      </c>
      <c r="F116" s="28">
        <f t="shared" ref="F116:F118" si="23">D116*E116</f>
        <v>28</v>
      </c>
      <c r="G116" s="100"/>
      <c r="H116" s="91">
        <f t="shared" ref="H116:H118" si="24">B116*G116</f>
        <v>0</v>
      </c>
      <c r="I116" s="91"/>
    </row>
    <row r="117" spans="1:9" ht="16">
      <c r="A117" s="30" t="s">
        <v>191</v>
      </c>
      <c r="B117" s="91">
        <v>1.67</v>
      </c>
      <c r="C117" s="98">
        <f t="shared" si="22"/>
        <v>0.79125000000000001</v>
      </c>
      <c r="D117" s="91">
        <v>8</v>
      </c>
      <c r="E117" s="99">
        <f>infuseurs!$E$36</f>
        <v>7</v>
      </c>
      <c r="F117" s="28">
        <f t="shared" si="23"/>
        <v>56</v>
      </c>
      <c r="G117" s="100"/>
      <c r="H117" s="91">
        <f t="shared" si="24"/>
        <v>0</v>
      </c>
      <c r="I117" s="91"/>
    </row>
    <row r="118" spans="1:9" ht="16">
      <c r="A118" s="30" t="s">
        <v>192</v>
      </c>
      <c r="B118" s="91">
        <v>1.7</v>
      </c>
      <c r="C118" s="98">
        <f t="shared" si="22"/>
        <v>0.78749999999999998</v>
      </c>
      <c r="D118" s="91">
        <v>8</v>
      </c>
      <c r="E118" s="99">
        <f>infuseurs!$F$36</f>
        <v>16</v>
      </c>
      <c r="F118" s="28">
        <f t="shared" si="23"/>
        <v>128</v>
      </c>
      <c r="G118" s="100"/>
      <c r="H118" s="91">
        <f t="shared" si="24"/>
        <v>0</v>
      </c>
      <c r="I118" s="91">
        <f>SUM(H106:H118)</f>
        <v>0</v>
      </c>
    </row>
    <row r="119" spans="1:9">
      <c r="B119" s="66"/>
      <c r="C119" s="87"/>
      <c r="D119" s="66"/>
    </row>
    <row r="120" spans="1:9">
      <c r="B120" s="66"/>
      <c r="C120" s="87"/>
      <c r="D120" s="66"/>
    </row>
    <row r="121" spans="1:9" ht="16">
      <c r="A121" s="11" t="s">
        <v>130</v>
      </c>
      <c r="B121" s="8"/>
      <c r="D121" s="6"/>
    </row>
    <row r="122" spans="1:9">
      <c r="A122" s="30" t="s">
        <v>29</v>
      </c>
      <c r="B122" s="29">
        <v>16</v>
      </c>
      <c r="C122" s="27">
        <f t="shared" ref="C122:C130" si="25">(D122-B122)/D122</f>
        <v>0.27272727272727271</v>
      </c>
      <c r="D122" s="29">
        <v>22</v>
      </c>
      <c r="E122" s="13">
        <f>ainesse!C$36</f>
        <v>0</v>
      </c>
      <c r="F122" s="28">
        <f>D122*E122</f>
        <v>0</v>
      </c>
    </row>
    <row r="123" spans="1:9">
      <c r="A123" s="30" t="s">
        <v>21</v>
      </c>
      <c r="B123" s="29">
        <v>4.8</v>
      </c>
      <c r="C123" s="27">
        <f t="shared" si="25"/>
        <v>0.26153846153846155</v>
      </c>
      <c r="D123" s="29">
        <v>6.5</v>
      </c>
      <c r="E123" s="13">
        <f>ainesse!D$36</f>
        <v>3</v>
      </c>
      <c r="F123" s="28">
        <f t="shared" ref="F123:F131" si="26">D123*E123</f>
        <v>19.5</v>
      </c>
    </row>
    <row r="124" spans="1:9">
      <c r="A124" s="30" t="s">
        <v>31</v>
      </c>
      <c r="B124" s="29">
        <v>4.8</v>
      </c>
      <c r="C124" s="27">
        <f t="shared" si="25"/>
        <v>0.26153846153846155</v>
      </c>
      <c r="D124" s="29">
        <v>6.5</v>
      </c>
      <c r="E124" s="13">
        <f>ainesse!E$36</f>
        <v>6</v>
      </c>
      <c r="F124" s="28">
        <f t="shared" si="26"/>
        <v>39</v>
      </c>
    </row>
    <row r="125" spans="1:9">
      <c r="A125" s="30" t="s">
        <v>86</v>
      </c>
      <c r="B125" s="29">
        <v>4.8</v>
      </c>
      <c r="C125" s="27">
        <f t="shared" si="25"/>
        <v>0.26153846153846155</v>
      </c>
      <c r="D125" s="29">
        <v>6.5</v>
      </c>
      <c r="E125" s="13">
        <f>ainesse!F$36</f>
        <v>1</v>
      </c>
      <c r="F125" s="28">
        <f t="shared" ref="F125" si="27">D125*E125</f>
        <v>6.5</v>
      </c>
    </row>
    <row r="126" spans="1:9">
      <c r="A126" s="30" t="s">
        <v>32</v>
      </c>
      <c r="B126" s="29">
        <v>4.8</v>
      </c>
      <c r="C126" s="27">
        <f t="shared" si="25"/>
        <v>0.26153846153846155</v>
      </c>
      <c r="D126" s="29">
        <v>6.5</v>
      </c>
      <c r="E126" s="13">
        <f>ainesse!G$36</f>
        <v>8</v>
      </c>
      <c r="F126" s="28">
        <f t="shared" si="26"/>
        <v>52</v>
      </c>
    </row>
    <row r="127" spans="1:9">
      <c r="A127" s="30" t="s">
        <v>217</v>
      </c>
      <c r="B127" s="29">
        <v>4.8</v>
      </c>
      <c r="C127" s="27">
        <f t="shared" si="25"/>
        <v>0.26153846153846155</v>
      </c>
      <c r="D127" s="29">
        <v>6.5</v>
      </c>
      <c r="E127" s="13">
        <f>ainesse!H$36</f>
        <v>3</v>
      </c>
      <c r="F127" s="28">
        <f>D127*E127</f>
        <v>19.5</v>
      </c>
    </row>
    <row r="128" spans="1:9">
      <c r="A128" s="30" t="s">
        <v>186</v>
      </c>
      <c r="B128" s="29">
        <v>2.4</v>
      </c>
      <c r="C128" s="27">
        <f t="shared" si="25"/>
        <v>0.31428571428571433</v>
      </c>
      <c r="D128" s="29">
        <v>3.5</v>
      </c>
      <c r="E128" s="13">
        <f>ainesse!I$36</f>
        <v>3</v>
      </c>
      <c r="F128" s="28">
        <f t="shared" si="26"/>
        <v>10.5</v>
      </c>
    </row>
    <row r="129" spans="1:6">
      <c r="A129" s="30" t="s">
        <v>187</v>
      </c>
      <c r="B129" s="29">
        <v>2.4</v>
      </c>
      <c r="C129" s="27">
        <f t="shared" si="25"/>
        <v>0.31428571428571433</v>
      </c>
      <c r="D129" s="29">
        <v>3.5</v>
      </c>
      <c r="E129" s="13">
        <f>ainesse!J$36</f>
        <v>4</v>
      </c>
      <c r="F129" s="28">
        <f t="shared" si="26"/>
        <v>14</v>
      </c>
    </row>
    <row r="130" spans="1:6">
      <c r="A130" s="30" t="s">
        <v>193</v>
      </c>
      <c r="B130" s="29">
        <v>2.4</v>
      </c>
      <c r="C130" s="27">
        <f t="shared" si="25"/>
        <v>0.31428571428571433</v>
      </c>
      <c r="D130" s="29">
        <v>3.5</v>
      </c>
      <c r="E130" s="13">
        <f>ainesse!K$36</f>
        <v>3</v>
      </c>
      <c r="F130" s="28">
        <f t="shared" si="26"/>
        <v>10.5</v>
      </c>
    </row>
    <row r="131" spans="1:6">
      <c r="A131" s="30" t="s">
        <v>36</v>
      </c>
      <c r="B131" s="29"/>
      <c r="C131" s="31">
        <v>0.2</v>
      </c>
      <c r="D131" s="29">
        <v>5</v>
      </c>
      <c r="E131" s="13">
        <f>ainesse!L$36</f>
        <v>3</v>
      </c>
      <c r="F131" s="28">
        <f t="shared" si="26"/>
        <v>15</v>
      </c>
    </row>
    <row r="132" spans="1:6">
      <c r="D132" s="6"/>
    </row>
    <row r="133" spans="1:6" ht="16">
      <c r="A133" s="11" t="s">
        <v>85</v>
      </c>
      <c r="B133" s="8"/>
      <c r="D133" s="9"/>
    </row>
    <row r="134" spans="1:6">
      <c r="A134" s="30" t="s">
        <v>161</v>
      </c>
      <c r="B134" s="29">
        <v>10</v>
      </c>
      <c r="C134" s="27">
        <f t="shared" ref="C134" si="28">(D134-B134)/D134</f>
        <v>0.33333333333333331</v>
      </c>
      <c r="D134" s="29">
        <f>[1]Cretolive!C4</f>
        <v>15</v>
      </c>
      <c r="E134" s="13">
        <f>Cretolive!$C$36</f>
        <v>0</v>
      </c>
      <c r="F134" s="28">
        <f t="shared" ref="F134" si="29">E134*D134</f>
        <v>0</v>
      </c>
    </row>
    <row r="135" spans="1:6">
      <c r="D135" s="9"/>
    </row>
    <row r="136" spans="1:6">
      <c r="D136" s="9"/>
    </row>
    <row r="137" spans="1:6" ht="16">
      <c r="A137" s="11" t="s">
        <v>232</v>
      </c>
      <c r="B137" s="8"/>
      <c r="D137" s="6"/>
    </row>
    <row r="138" spans="1:6">
      <c r="A138" s="30" t="s">
        <v>208</v>
      </c>
      <c r="B138" s="29"/>
      <c r="C138" s="31"/>
      <c r="D138" s="29">
        <v>9.35</v>
      </c>
      <c r="E138" s="13">
        <v>1</v>
      </c>
      <c r="F138" s="28">
        <f t="shared" ref="F138:F149" si="30">E138*D138</f>
        <v>9.35</v>
      </c>
    </row>
    <row r="139" spans="1:6">
      <c r="A139" s="30" t="s">
        <v>209</v>
      </c>
      <c r="B139" s="29"/>
      <c r="C139" s="31"/>
      <c r="D139" s="29">
        <v>9.15</v>
      </c>
      <c r="E139" s="13">
        <v>1</v>
      </c>
      <c r="F139" s="28">
        <f t="shared" si="30"/>
        <v>9.15</v>
      </c>
    </row>
    <row r="140" spans="1:6">
      <c r="A140" s="30" t="s">
        <v>210</v>
      </c>
      <c r="B140" s="29"/>
      <c r="C140" s="31"/>
      <c r="D140" s="29">
        <v>9.15</v>
      </c>
      <c r="E140" s="13"/>
      <c r="F140" s="28">
        <f t="shared" si="30"/>
        <v>0</v>
      </c>
    </row>
    <row r="141" spans="1:6">
      <c r="A141" s="30" t="s">
        <v>211</v>
      </c>
      <c r="B141" s="29"/>
      <c r="C141" s="31"/>
      <c r="D141" s="29">
        <v>7.9</v>
      </c>
      <c r="E141" s="13"/>
      <c r="F141" s="28">
        <f t="shared" si="30"/>
        <v>0</v>
      </c>
    </row>
    <row r="142" spans="1:6">
      <c r="A142" s="30" t="s">
        <v>212</v>
      </c>
      <c r="B142" s="29"/>
      <c r="C142" s="31"/>
      <c r="D142" s="29">
        <v>9.35</v>
      </c>
      <c r="E142" s="13"/>
      <c r="F142" s="28">
        <f t="shared" si="30"/>
        <v>0</v>
      </c>
    </row>
    <row r="143" spans="1:6">
      <c r="A143" s="30" t="s">
        <v>170</v>
      </c>
      <c r="B143" s="29"/>
      <c r="C143" s="31"/>
      <c r="D143" s="29">
        <v>4.0999999999999996</v>
      </c>
      <c r="E143" s="13">
        <v>4</v>
      </c>
      <c r="F143" s="28">
        <f t="shared" si="30"/>
        <v>16.399999999999999</v>
      </c>
    </row>
    <row r="144" spans="1:6">
      <c r="A144" s="30" t="s">
        <v>238</v>
      </c>
      <c r="B144" s="29"/>
      <c r="C144" s="31"/>
      <c r="D144" s="29">
        <v>4.0999999999999996</v>
      </c>
      <c r="E144" s="13">
        <v>5</v>
      </c>
      <c r="F144" s="28">
        <f t="shared" si="30"/>
        <v>20.5</v>
      </c>
    </row>
    <row r="145" spans="1:6">
      <c r="A145" s="30" t="s">
        <v>97</v>
      </c>
      <c r="B145" s="29"/>
      <c r="C145" s="31"/>
      <c r="D145" s="29">
        <v>4.0999999999999996</v>
      </c>
      <c r="E145" s="13">
        <v>4</v>
      </c>
      <c r="F145" s="28">
        <f t="shared" si="30"/>
        <v>16.399999999999999</v>
      </c>
    </row>
    <row r="146" spans="1:6">
      <c r="A146" s="30" t="s">
        <v>237</v>
      </c>
      <c r="B146" s="29"/>
      <c r="C146" s="31"/>
      <c r="D146" s="29">
        <v>5.45</v>
      </c>
      <c r="E146" s="13">
        <v>4</v>
      </c>
      <c r="F146" s="28">
        <f t="shared" si="30"/>
        <v>21.8</v>
      </c>
    </row>
    <row r="147" spans="1:6">
      <c r="A147" s="30" t="s">
        <v>239</v>
      </c>
      <c r="B147" s="29"/>
      <c r="C147" s="31"/>
      <c r="D147" s="29">
        <v>6.05</v>
      </c>
      <c r="E147" s="13">
        <v>2</v>
      </c>
      <c r="F147" s="28">
        <f t="shared" si="30"/>
        <v>12.1</v>
      </c>
    </row>
    <row r="148" spans="1:6">
      <c r="A148" s="30" t="s">
        <v>240</v>
      </c>
      <c r="B148" s="29"/>
      <c r="C148" s="31"/>
      <c r="D148" s="29">
        <v>5.45</v>
      </c>
      <c r="E148" s="13">
        <v>3</v>
      </c>
      <c r="F148" s="28">
        <f t="shared" si="30"/>
        <v>16.350000000000001</v>
      </c>
    </row>
    <row r="149" spans="1:6">
      <c r="A149" s="30" t="s">
        <v>241</v>
      </c>
      <c r="B149" s="29"/>
      <c r="C149" s="31"/>
      <c r="D149" s="29">
        <v>6.05</v>
      </c>
      <c r="E149" s="13">
        <v>3</v>
      </c>
      <c r="F149" s="28">
        <f t="shared" si="30"/>
        <v>18.149999999999999</v>
      </c>
    </row>
    <row r="150" spans="1:6">
      <c r="F150" s="3"/>
    </row>
    <row r="151" spans="1:6">
      <c r="F151" s="3"/>
    </row>
    <row r="152" spans="1:6">
      <c r="A152" s="12" t="s">
        <v>143</v>
      </c>
      <c r="F152" s="3"/>
    </row>
    <row r="153" spans="1:6">
      <c r="A153" s="30" t="s">
        <v>144</v>
      </c>
      <c r="B153" s="29">
        <v>1.5</v>
      </c>
      <c r="C153" s="27">
        <f t="shared" ref="C153" si="31">(D153-B153)/D153</f>
        <v>0.875</v>
      </c>
      <c r="D153" s="29">
        <v>12</v>
      </c>
      <c r="E153" s="13">
        <v>62</v>
      </c>
      <c r="F153" s="28">
        <f>E153*D153</f>
        <v>744</v>
      </c>
    </row>
    <row r="154" spans="1:6">
      <c r="F154" s="3"/>
    </row>
    <row r="155" spans="1:6">
      <c r="A155" s="12" t="s">
        <v>52</v>
      </c>
      <c r="B155" s="66"/>
      <c r="C155" s="87"/>
      <c r="F155" s="3"/>
    </row>
    <row r="156" spans="1:6">
      <c r="A156" s="30" t="s">
        <v>53</v>
      </c>
      <c r="B156" s="29">
        <v>5.5</v>
      </c>
      <c r="C156" s="27">
        <f t="shared" ref="C156:C160" si="32">(D156-B156)/D156</f>
        <v>0.30379746835443039</v>
      </c>
      <c r="D156" s="91">
        <v>7.9</v>
      </c>
      <c r="E156" s="13">
        <f>Miels!$C$36</f>
        <v>6</v>
      </c>
      <c r="F156" s="28">
        <f>E156*D156</f>
        <v>47.400000000000006</v>
      </c>
    </row>
    <row r="157" spans="1:6">
      <c r="A157" s="30" t="s">
        <v>54</v>
      </c>
      <c r="B157" s="29">
        <v>5.5</v>
      </c>
      <c r="C157" s="27">
        <f t="shared" si="32"/>
        <v>0.30379746835443039</v>
      </c>
      <c r="D157" s="91">
        <v>7.9</v>
      </c>
      <c r="E157" s="13">
        <f>Miels!$D$36</f>
        <v>6</v>
      </c>
      <c r="F157" s="28">
        <f t="shared" ref="F157:F161" si="33">E157*D157</f>
        <v>47.400000000000006</v>
      </c>
    </row>
    <row r="158" spans="1:6">
      <c r="A158" s="30" t="s">
        <v>55</v>
      </c>
      <c r="B158" s="29">
        <v>6.5</v>
      </c>
      <c r="C158" s="27">
        <f t="shared" si="32"/>
        <v>0.30107526881720437</v>
      </c>
      <c r="D158" s="91">
        <v>9.3000000000000007</v>
      </c>
      <c r="E158" s="13">
        <f>Miels!$E$36</f>
        <v>6</v>
      </c>
      <c r="F158" s="28">
        <f t="shared" si="33"/>
        <v>55.800000000000004</v>
      </c>
    </row>
    <row r="159" spans="1:6">
      <c r="A159" s="30" t="s">
        <v>56</v>
      </c>
      <c r="B159" s="29">
        <v>6.5</v>
      </c>
      <c r="C159" s="27">
        <f t="shared" si="32"/>
        <v>0.30107526881720437</v>
      </c>
      <c r="D159" s="91">
        <v>9.3000000000000007</v>
      </c>
      <c r="E159" s="13">
        <f>Miels!$F$36</f>
        <v>5</v>
      </c>
      <c r="F159" s="28">
        <f t="shared" si="33"/>
        <v>46.5</v>
      </c>
    </row>
    <row r="160" spans="1:6">
      <c r="A160" s="30" t="s">
        <v>57</v>
      </c>
      <c r="B160" s="29">
        <v>6.5</v>
      </c>
      <c r="C160" s="27">
        <f t="shared" si="32"/>
        <v>0.30107526881720437</v>
      </c>
      <c r="D160" s="91">
        <v>9.3000000000000007</v>
      </c>
      <c r="E160" s="13">
        <f>Miels!$G$36</f>
        <v>5</v>
      </c>
      <c r="F160" s="28">
        <f t="shared" si="33"/>
        <v>46.5</v>
      </c>
    </row>
    <row r="161" spans="1:6">
      <c r="A161" s="30" t="s">
        <v>58</v>
      </c>
      <c r="B161" s="29">
        <v>7.5</v>
      </c>
      <c r="C161" s="27">
        <f>(D161-B161)/D161</f>
        <v>0.29906542056074764</v>
      </c>
      <c r="D161" s="91">
        <v>10.7</v>
      </c>
      <c r="E161" s="13">
        <f>Miels!$H$36</f>
        <v>4</v>
      </c>
      <c r="F161" s="28">
        <f t="shared" si="33"/>
        <v>42.8</v>
      </c>
    </row>
    <row r="162" spans="1:6">
      <c r="F162" s="3"/>
    </row>
    <row r="163" spans="1:6">
      <c r="F163" s="3">
        <f>SUM(F4:F162)</f>
        <v>2034.1999999999998</v>
      </c>
    </row>
    <row r="191" spans="1:1">
      <c r="A191" s="13"/>
    </row>
    <row r="192" spans="1:1">
      <c r="A192" s="13"/>
    </row>
    <row r="193" spans="1:1">
      <c r="A193" s="13"/>
    </row>
    <row r="194" spans="1:1">
      <c r="A194" s="13"/>
    </row>
    <row r="195" spans="1:1">
      <c r="A195" s="13"/>
    </row>
    <row r="196" spans="1:1">
      <c r="A196" s="13"/>
    </row>
    <row r="197" spans="1:1">
      <c r="A197" s="13"/>
    </row>
    <row r="198" spans="1:1">
      <c r="A198" s="13"/>
    </row>
    <row r="199" spans="1:1">
      <c r="A199" s="13"/>
    </row>
    <row r="200" spans="1:1">
      <c r="A200" s="13"/>
    </row>
    <row r="201" spans="1:1">
      <c r="A201" s="13"/>
    </row>
    <row r="202" spans="1:1">
      <c r="A202" s="13"/>
    </row>
    <row r="203" spans="1:1">
      <c r="A203" s="13"/>
    </row>
    <row r="204" spans="1:1">
      <c r="A204" s="13"/>
    </row>
    <row r="205" spans="1:1">
      <c r="A205" s="13"/>
    </row>
    <row r="206" spans="1:1">
      <c r="A206" s="13"/>
    </row>
  </sheetData>
  <sheetCalcPr fullCalcOnLoad="1"/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37"/>
  <sheetViews>
    <sheetView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D33" sqref="D33"/>
    </sheetView>
  </sheetViews>
  <sheetFormatPr baseColWidth="10" defaultRowHeight="13"/>
  <cols>
    <col min="1" max="1" width="19.5703125" customWidth="1"/>
    <col min="2" max="2" width="6.42578125" customWidth="1"/>
  </cols>
  <sheetData>
    <row r="1" spans="1:11" ht="75">
      <c r="A1" s="93" t="s">
        <v>68</v>
      </c>
      <c r="B1" s="21" t="s">
        <v>245</v>
      </c>
      <c r="C1" s="41" t="s">
        <v>246</v>
      </c>
      <c r="D1" s="41" t="s">
        <v>247</v>
      </c>
      <c r="E1" s="41" t="s">
        <v>248</v>
      </c>
      <c r="F1" s="41" t="s">
        <v>249</v>
      </c>
      <c r="G1" s="41"/>
      <c r="H1" s="41"/>
    </row>
    <row r="2" spans="1:11" ht="17">
      <c r="A2" s="35"/>
      <c r="B2" s="35"/>
      <c r="C2" s="96">
        <f>Sheet1!$D$115</f>
        <v>2</v>
      </c>
      <c r="D2" s="96">
        <f>Sheet1!$D$116</f>
        <v>4</v>
      </c>
      <c r="E2" s="96">
        <f>Sheet1!$D$117</f>
        <v>8</v>
      </c>
      <c r="F2" s="96">
        <f>Sheet1!$D$118</f>
        <v>8</v>
      </c>
      <c r="G2" s="96"/>
      <c r="H2" s="96"/>
      <c r="I2" s="96"/>
      <c r="J2" s="96"/>
      <c r="K2" s="96"/>
    </row>
    <row r="3" spans="1:11" ht="17">
      <c r="A3" s="35"/>
      <c r="B3" s="35"/>
      <c r="C3" s="97">
        <f>Sheet1!$C$115</f>
        <v>0.76500000000000001</v>
      </c>
      <c r="D3" s="97">
        <f>Sheet1!$C$116</f>
        <v>0.77749999999999997</v>
      </c>
      <c r="E3" s="97">
        <f>Sheet1!$C$117</f>
        <v>0.79125000000000001</v>
      </c>
      <c r="F3" s="97">
        <f>Sheet1!$C$118</f>
        <v>0.78749999999999998</v>
      </c>
      <c r="G3" s="97"/>
      <c r="H3" s="97"/>
      <c r="I3" s="97"/>
      <c r="J3" s="96"/>
      <c r="K3" s="96"/>
    </row>
    <row r="4" spans="1:11">
      <c r="C4">
        <v>42</v>
      </c>
      <c r="D4">
        <v>8</v>
      </c>
      <c r="E4">
        <v>8</v>
      </c>
      <c r="F4">
        <v>18</v>
      </c>
      <c r="G4">
        <v>6</v>
      </c>
      <c r="H4">
        <v>7</v>
      </c>
    </row>
    <row r="5" spans="1:11">
      <c r="A5" s="24">
        <v>40847</v>
      </c>
      <c r="J5" s="66">
        <f>-((C$2*C5)+(D$2*D5)+(E$2*E5)+(F$2*F5)+(G$2*G5)+(H$2*H5))</f>
        <v>0</v>
      </c>
      <c r="K5" s="66">
        <f>-((C$2*C$3*C5)+(D$2*D$3*D5)+(E$2*E$3*E5)+(F$2*F$3*F5)+(G$2*G$3*G5)+(H$2*H$3*H5))</f>
        <v>0</v>
      </c>
    </row>
    <row r="6" spans="1:11">
      <c r="A6" s="24">
        <v>40848</v>
      </c>
      <c r="J6" s="66">
        <f t="shared" ref="J6:J34" si="0">-((C$2*C6)+(D$2*D6)+(E$2*E6)+(F$2*F6)+(G$2*G6)+(H$2*H6))</f>
        <v>0</v>
      </c>
      <c r="K6" s="66">
        <f t="shared" ref="K6:K34" si="1">-((C$2*C$3*C6)+(D$2*D$3*D6)+(E$2*E$3*E6)+(F$2*F$3*F6)+(G$2*G$3*G6)+(H$2*H$3*H6))</f>
        <v>0</v>
      </c>
    </row>
    <row r="7" spans="1:11">
      <c r="A7" s="24">
        <v>40849</v>
      </c>
      <c r="J7" s="66">
        <f t="shared" si="0"/>
        <v>0</v>
      </c>
      <c r="K7" s="66">
        <f t="shared" si="1"/>
        <v>0</v>
      </c>
    </row>
    <row r="8" spans="1:11">
      <c r="A8" s="24">
        <v>40850</v>
      </c>
      <c r="J8" s="66">
        <f t="shared" si="0"/>
        <v>0</v>
      </c>
      <c r="K8" s="66">
        <f t="shared" si="1"/>
        <v>0</v>
      </c>
    </row>
    <row r="9" spans="1:11">
      <c r="A9" s="24">
        <v>40851</v>
      </c>
      <c r="J9" s="66">
        <f t="shared" si="0"/>
        <v>0</v>
      </c>
      <c r="K9" s="66">
        <f t="shared" si="1"/>
        <v>0</v>
      </c>
    </row>
    <row r="10" spans="1:11">
      <c r="A10" s="24">
        <v>40852</v>
      </c>
      <c r="J10" s="66">
        <f t="shared" si="0"/>
        <v>0</v>
      </c>
      <c r="K10" s="66">
        <f t="shared" si="1"/>
        <v>0</v>
      </c>
    </row>
    <row r="11" spans="1:11">
      <c r="A11" s="24">
        <v>40853</v>
      </c>
      <c r="J11" s="66">
        <f t="shared" si="0"/>
        <v>0</v>
      </c>
      <c r="K11" s="66">
        <f t="shared" si="1"/>
        <v>0</v>
      </c>
    </row>
    <row r="12" spans="1:11">
      <c r="A12" s="24">
        <v>40854</v>
      </c>
      <c r="J12" s="66">
        <f t="shared" si="0"/>
        <v>0</v>
      </c>
      <c r="K12" s="66">
        <f t="shared" si="1"/>
        <v>0</v>
      </c>
    </row>
    <row r="13" spans="1:11">
      <c r="A13" s="24">
        <v>40855</v>
      </c>
      <c r="J13" s="66">
        <f t="shared" si="0"/>
        <v>0</v>
      </c>
      <c r="K13" s="66">
        <f t="shared" si="1"/>
        <v>0</v>
      </c>
    </row>
    <row r="14" spans="1:11">
      <c r="A14" s="24">
        <v>40856</v>
      </c>
      <c r="J14" s="66">
        <f t="shared" si="0"/>
        <v>0</v>
      </c>
      <c r="K14" s="66">
        <f t="shared" si="1"/>
        <v>0</v>
      </c>
    </row>
    <row r="15" spans="1:11">
      <c r="A15" s="24">
        <v>40857</v>
      </c>
      <c r="J15" s="66">
        <f t="shared" si="0"/>
        <v>0</v>
      </c>
      <c r="K15" s="66">
        <f t="shared" si="1"/>
        <v>0</v>
      </c>
    </row>
    <row r="16" spans="1:11">
      <c r="A16" s="24">
        <v>40858</v>
      </c>
      <c r="J16" s="66">
        <f t="shared" si="0"/>
        <v>0</v>
      </c>
      <c r="K16" s="66">
        <f t="shared" si="1"/>
        <v>0</v>
      </c>
    </row>
    <row r="17" spans="1:11">
      <c r="A17" s="24">
        <v>40859</v>
      </c>
      <c r="F17">
        <v>-2</v>
      </c>
      <c r="J17" s="66">
        <f t="shared" si="0"/>
        <v>16</v>
      </c>
      <c r="K17" s="66">
        <f t="shared" si="1"/>
        <v>12.6</v>
      </c>
    </row>
    <row r="18" spans="1:11">
      <c r="A18" s="24">
        <v>40860</v>
      </c>
      <c r="J18" s="66">
        <f t="shared" si="0"/>
        <v>0</v>
      </c>
      <c r="K18" s="66">
        <f t="shared" si="1"/>
        <v>0</v>
      </c>
    </row>
    <row r="19" spans="1:11">
      <c r="A19" s="24">
        <v>40861</v>
      </c>
      <c r="J19" s="66">
        <f t="shared" si="0"/>
        <v>0</v>
      </c>
      <c r="K19" s="66">
        <f t="shared" si="1"/>
        <v>0</v>
      </c>
    </row>
    <row r="20" spans="1:11">
      <c r="A20" s="24">
        <v>40862</v>
      </c>
      <c r="J20" s="66">
        <f t="shared" si="0"/>
        <v>0</v>
      </c>
      <c r="K20" s="66">
        <f t="shared" si="1"/>
        <v>0</v>
      </c>
    </row>
    <row r="21" spans="1:11">
      <c r="A21" s="24">
        <v>40863</v>
      </c>
      <c r="J21" s="66">
        <f t="shared" si="0"/>
        <v>0</v>
      </c>
      <c r="K21" s="66">
        <f t="shared" si="1"/>
        <v>0</v>
      </c>
    </row>
    <row r="22" spans="1:11">
      <c r="A22" s="24">
        <v>40864</v>
      </c>
      <c r="J22" s="66">
        <f t="shared" si="0"/>
        <v>0</v>
      </c>
      <c r="K22" s="66">
        <f t="shared" si="1"/>
        <v>0</v>
      </c>
    </row>
    <row r="23" spans="1:11">
      <c r="A23" s="24">
        <v>40865</v>
      </c>
      <c r="J23" s="66">
        <f t="shared" si="0"/>
        <v>0</v>
      </c>
      <c r="K23" s="66">
        <f t="shared" si="1"/>
        <v>0</v>
      </c>
    </row>
    <row r="24" spans="1:11">
      <c r="A24" s="24">
        <v>40866</v>
      </c>
      <c r="J24" s="66">
        <f t="shared" si="0"/>
        <v>0</v>
      </c>
      <c r="K24" s="66">
        <f t="shared" si="1"/>
        <v>0</v>
      </c>
    </row>
    <row r="25" spans="1:11">
      <c r="A25" s="24">
        <v>40867</v>
      </c>
      <c r="J25" s="66">
        <f t="shared" si="0"/>
        <v>0</v>
      </c>
      <c r="K25" s="66">
        <f t="shared" si="1"/>
        <v>0</v>
      </c>
    </row>
    <row r="26" spans="1:11">
      <c r="A26" s="24">
        <v>40868</v>
      </c>
      <c r="J26" s="66">
        <f t="shared" si="0"/>
        <v>0</v>
      </c>
      <c r="K26" s="66">
        <f t="shared" si="1"/>
        <v>0</v>
      </c>
    </row>
    <row r="27" spans="1:11">
      <c r="A27" s="24">
        <v>40869</v>
      </c>
      <c r="J27" s="66">
        <f t="shared" si="0"/>
        <v>0</v>
      </c>
      <c r="K27" s="66">
        <f t="shared" si="1"/>
        <v>0</v>
      </c>
    </row>
    <row r="28" spans="1:11">
      <c r="A28" s="24">
        <v>40870</v>
      </c>
      <c r="J28" s="66">
        <f t="shared" si="0"/>
        <v>0</v>
      </c>
      <c r="K28" s="66">
        <f t="shared" si="1"/>
        <v>0</v>
      </c>
    </row>
    <row r="29" spans="1:11">
      <c r="A29" s="24">
        <v>40871</v>
      </c>
      <c r="J29" s="66">
        <f t="shared" si="0"/>
        <v>0</v>
      </c>
      <c r="K29" s="66">
        <f t="shared" si="1"/>
        <v>0</v>
      </c>
    </row>
    <row r="30" spans="1:11">
      <c r="A30" s="24">
        <v>40872</v>
      </c>
      <c r="J30" s="66">
        <f t="shared" si="0"/>
        <v>0</v>
      </c>
      <c r="K30" s="66">
        <f t="shared" si="1"/>
        <v>0</v>
      </c>
    </row>
    <row r="31" spans="1:11">
      <c r="A31" s="24">
        <v>40873</v>
      </c>
      <c r="J31" s="66">
        <f t="shared" si="0"/>
        <v>0</v>
      </c>
      <c r="K31" s="66">
        <f t="shared" si="1"/>
        <v>0</v>
      </c>
    </row>
    <row r="32" spans="1:11">
      <c r="A32" s="24">
        <v>40874</v>
      </c>
      <c r="C32">
        <v>-2</v>
      </c>
      <c r="D32">
        <v>-1</v>
      </c>
      <c r="E32">
        <v>-1</v>
      </c>
      <c r="J32" s="66">
        <f t="shared" si="0"/>
        <v>16</v>
      </c>
      <c r="K32" s="66">
        <f>-((C$2*C$3*C32)+(D$2*D$3*D32)+(E$2*E$3*E32)+(F$2*F$3*F32)+(G$2*G$3*G32)+(H$2*H$3*H32))</f>
        <v>12.5</v>
      </c>
    </row>
    <row r="33" spans="1:11">
      <c r="A33" s="24">
        <v>40875</v>
      </c>
      <c r="C33">
        <v>-1</v>
      </c>
      <c r="J33" s="66">
        <f t="shared" si="0"/>
        <v>2</v>
      </c>
      <c r="K33" s="66">
        <f t="shared" si="1"/>
        <v>1.53</v>
      </c>
    </row>
    <row r="34" spans="1:11">
      <c r="A34" s="24">
        <v>40876</v>
      </c>
      <c r="J34" s="66">
        <f t="shared" si="0"/>
        <v>0</v>
      </c>
      <c r="K34" s="66">
        <f t="shared" si="1"/>
        <v>0</v>
      </c>
    </row>
    <row r="35" spans="1:11">
      <c r="A35" s="24"/>
    </row>
    <row r="36" spans="1:11">
      <c r="C36">
        <f>SUM(C4:C35)</f>
        <v>39</v>
      </c>
      <c r="D36">
        <f t="shared" ref="D36:H36" si="2">SUM(D4:D35)</f>
        <v>7</v>
      </c>
      <c r="E36">
        <f t="shared" si="2"/>
        <v>7</v>
      </c>
      <c r="F36">
        <f t="shared" si="2"/>
        <v>16</v>
      </c>
      <c r="G36">
        <f t="shared" si="2"/>
        <v>6</v>
      </c>
      <c r="H36">
        <f t="shared" si="2"/>
        <v>7</v>
      </c>
      <c r="J36" s="66">
        <f>SUM(J5:J35)</f>
        <v>34</v>
      </c>
      <c r="K36" s="66">
        <f>SUM(K5:K35)</f>
        <v>26.630000000000003</v>
      </c>
    </row>
    <row r="37" spans="1:11">
      <c r="K37" s="87">
        <f>K36/J36</f>
        <v>0.78323529411764714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U38"/>
  <sheetViews>
    <sheetView zoomScale="125" workbookViewId="0">
      <pane xSplit="2" ySplit="4" topLeftCell="K33" activePane="bottomRight" state="frozen"/>
      <selection pane="topRight" activeCell="C1" sqref="C1"/>
      <selection pane="bottomLeft" activeCell="A5" sqref="A5"/>
      <selection pane="bottomRight" activeCell="Q33" sqref="Q33"/>
    </sheetView>
  </sheetViews>
  <sheetFormatPr baseColWidth="10" defaultRowHeight="13"/>
  <cols>
    <col min="1" max="1" width="19.5703125" customWidth="1"/>
    <col min="2" max="2" width="6.42578125" customWidth="1"/>
    <col min="8" max="13" width="8.7109375" customWidth="1"/>
  </cols>
  <sheetData>
    <row r="1" spans="1:21" ht="77">
      <c r="A1" s="46" t="s">
        <v>68</v>
      </c>
      <c r="B1" s="21" t="s">
        <v>28</v>
      </c>
      <c r="C1" s="41" t="s">
        <v>164</v>
      </c>
      <c r="D1" s="41" t="s">
        <v>226</v>
      </c>
      <c r="E1" s="41" t="s">
        <v>227</v>
      </c>
      <c r="F1" s="41" t="s">
        <v>228</v>
      </c>
      <c r="G1" s="41" t="s">
        <v>45</v>
      </c>
      <c r="H1" s="41" t="s">
        <v>83</v>
      </c>
      <c r="I1" s="41" t="s">
        <v>151</v>
      </c>
      <c r="J1" s="41" t="s">
        <v>152</v>
      </c>
      <c r="K1" s="41" t="s">
        <v>173</v>
      </c>
      <c r="L1" s="41" t="s">
        <v>132</v>
      </c>
      <c r="M1" s="41" t="s">
        <v>88</v>
      </c>
      <c r="N1" s="41" t="s">
        <v>89</v>
      </c>
      <c r="O1" s="41" t="s">
        <v>90</v>
      </c>
      <c r="P1" s="41" t="s">
        <v>148</v>
      </c>
      <c r="Q1" s="41" t="s">
        <v>92</v>
      </c>
      <c r="R1" s="41" t="s">
        <v>110</v>
      </c>
      <c r="S1" s="41" t="s">
        <v>131</v>
      </c>
    </row>
    <row r="2" spans="1:21" s="34" customFormat="1" ht="29" customHeight="1">
      <c r="A2" s="35"/>
      <c r="C2" s="34">
        <v>3.8</v>
      </c>
      <c r="D2" s="34">
        <v>2.5</v>
      </c>
      <c r="E2" s="34">
        <v>4</v>
      </c>
      <c r="F2" s="34">
        <v>3.8</v>
      </c>
      <c r="G2" s="34">
        <v>3.4</v>
      </c>
      <c r="H2" s="34">
        <v>4.2</v>
      </c>
      <c r="I2" s="34">
        <v>3.8</v>
      </c>
      <c r="J2" s="34">
        <v>4.4000000000000004</v>
      </c>
      <c r="K2" s="34">
        <v>6</v>
      </c>
      <c r="L2" s="34">
        <v>4.8</v>
      </c>
      <c r="M2" s="34">
        <v>4.5</v>
      </c>
      <c r="N2" s="34">
        <v>2</v>
      </c>
      <c r="O2" s="34">
        <v>3.2</v>
      </c>
      <c r="P2" s="34">
        <v>4</v>
      </c>
      <c r="Q2" s="34">
        <v>2.5</v>
      </c>
      <c r="R2" s="34">
        <v>1.5</v>
      </c>
      <c r="S2" s="34">
        <v>4.4000000000000004</v>
      </c>
    </row>
    <row r="3" spans="1:21" s="34" customFormat="1" ht="29" customHeight="1">
      <c r="A3" s="35"/>
      <c r="C3" s="60">
        <f>Sheet1!$C$79</f>
        <v>0.64799999999999991</v>
      </c>
      <c r="D3" s="60">
        <f>Sheet1!$C$80</f>
        <v>0.65151999999999999</v>
      </c>
      <c r="E3" s="60">
        <f>Sheet1!$C$81</f>
        <v>0.65460000000000007</v>
      </c>
      <c r="F3" s="60">
        <f>Sheet1!$C$82</f>
        <v>0.66421052631578947</v>
      </c>
      <c r="G3" s="60">
        <f>Sheet1!$C$83</f>
        <v>0.65317647058823525</v>
      </c>
      <c r="H3" s="60">
        <f>Sheet1!$C$84</f>
        <v>0.65428571428571436</v>
      </c>
      <c r="I3" s="60">
        <f>Sheet1!$C$85</f>
        <v>0.64799999999999991</v>
      </c>
      <c r="J3" s="60">
        <f>Sheet1!$C$86</f>
        <v>0.65799999999999992</v>
      </c>
      <c r="K3" s="60">
        <f>Sheet1!$C$87</f>
        <v>0.65826666666666667</v>
      </c>
      <c r="L3" s="60">
        <f>Sheet1!$C$88</f>
        <v>0.65533333333333332</v>
      </c>
      <c r="M3" s="60">
        <f>Sheet1!$C$89</f>
        <v>0.65386666666666671</v>
      </c>
      <c r="N3" s="60">
        <f>Sheet1!$C$90</f>
        <v>0.68466666666666676</v>
      </c>
      <c r="O3" s="60">
        <f>Sheet1!$C$91</f>
        <v>0.66541666666666666</v>
      </c>
      <c r="P3" s="60">
        <f>Sheet1!$C$92</f>
        <v>0.68100000000000005</v>
      </c>
      <c r="Q3" s="60">
        <f>Sheet1!$C$93</f>
        <v>0.73072000000000004</v>
      </c>
      <c r="R3" s="60">
        <f>Sheet1!$C$94</f>
        <v>0.68466666666666676</v>
      </c>
      <c r="S3" s="70">
        <f>Sheet1!$C$95</f>
        <v>0.64772727272727282</v>
      </c>
    </row>
    <row r="4" spans="1:21">
      <c r="C4">
        <v>3</v>
      </c>
      <c r="D4">
        <v>0</v>
      </c>
      <c r="E4">
        <v>6</v>
      </c>
      <c r="F4">
        <v>2</v>
      </c>
      <c r="G4">
        <v>3</v>
      </c>
      <c r="H4">
        <v>2</v>
      </c>
      <c r="I4">
        <v>3</v>
      </c>
      <c r="J4">
        <v>3</v>
      </c>
      <c r="K4">
        <v>4</v>
      </c>
      <c r="L4">
        <v>3</v>
      </c>
      <c r="M4">
        <v>4</v>
      </c>
      <c r="N4">
        <v>2</v>
      </c>
      <c r="O4">
        <v>6</v>
      </c>
      <c r="P4">
        <v>4</v>
      </c>
      <c r="Q4">
        <v>1</v>
      </c>
      <c r="R4">
        <v>3</v>
      </c>
      <c r="S4">
        <v>3</v>
      </c>
    </row>
    <row r="5" spans="1:21" s="50" customFormat="1">
      <c r="A5" s="95">
        <v>40847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>
        <f>-((C$2*C5)+(D$2*D5)+(E$2*E5)+(F$2*F5)+(G$2*G5)+(H$2*H5)+(I$2*I5)+(J$2*J5)+(K$2*K5)+(L$2*L5)+(M$2*M5)+(N$2*N5)+(O$2*O5)+(P$2*P5)+(Q$2*Q5)+(R$2*R5)+(S$2*S5))</f>
        <v>0</v>
      </c>
      <c r="U5" s="49">
        <f>-((C$2*C$3*C5)+(D$2*D$3*D5)+(E$2*E$3*E5)+(F$2*F$3*F5)+(G$2*G$3*G5)+(H$2*H$3*H5)+(I$2*I$3*I5)+(J$2*J$3*J5)+(K$2*K$3*K5)+(L$2*L$3*L5)+(M$2*M$3*M5)+(N$2*N$3*N5)+(O$2*O$3*O5)+(P$2*P$3*P5)+(Q$2*Q$3*Q5)+(R$2*R$3*R5)+(S$2*S$3*S5))</f>
        <v>0</v>
      </c>
    </row>
    <row r="6" spans="1:21" s="54" customFormat="1">
      <c r="A6" s="95">
        <v>40848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49">
        <f t="shared" ref="T6:T35" si="0">-((C$2*C6)+(D$2*D6)+(E$2*E6)+(F$2*F6)+(G$2*G6)+(H$2*H6)+(I$2*I6)+(J$2*J6)+(K$2*K6)+(L$2*L6)+(M$2*M6)+(N$2*N6)+(O$2*O6)+(P$2*P6)+(Q$2*Q6)+(R$2*R6)+(S$2*S6))</f>
        <v>0</v>
      </c>
      <c r="U6" s="49">
        <f t="shared" ref="U6:U35" si="1">-((C$2*C$3*C6)+(D$2*D$3*D6)+(E$2*E$3*E6)+(F$2*F$3*F6)+(G$2*G$3*G6)+(H$2*H$3*H6)+(I$2*I$3*I6)+(J$2*J$3*J6)+(K$2*K$3*K6)+(L$2*L$3*L6)+(M$2*M$3*M6)+(N$2*N$3*N6)+(O$2*O$3*O6)+(P$2*P$3*P6)+(Q$2*Q$3*Q6)+(R$2*R$3*R6)+(S$2*S$3*S6))</f>
        <v>0</v>
      </c>
    </row>
    <row r="7" spans="1:21" s="50" customFormat="1">
      <c r="A7" s="95">
        <v>40849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>
        <f t="shared" si="0"/>
        <v>0</v>
      </c>
      <c r="U7" s="49">
        <f t="shared" si="1"/>
        <v>0</v>
      </c>
    </row>
    <row r="8" spans="1:21" s="54" customFormat="1">
      <c r="A8" s="95">
        <v>40850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49">
        <f t="shared" si="0"/>
        <v>0</v>
      </c>
      <c r="U8" s="49">
        <f t="shared" si="1"/>
        <v>0</v>
      </c>
    </row>
    <row r="9" spans="1:21" s="50" customFormat="1">
      <c r="A9" s="95">
        <v>40851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9">
        <f t="shared" si="0"/>
        <v>0</v>
      </c>
      <c r="U9" s="49">
        <f t="shared" si="1"/>
        <v>0</v>
      </c>
    </row>
    <row r="10" spans="1:21" s="54" customFormat="1">
      <c r="A10" s="95">
        <v>40852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49">
        <f t="shared" si="0"/>
        <v>0</v>
      </c>
      <c r="U10" s="49">
        <f t="shared" si="1"/>
        <v>0</v>
      </c>
    </row>
    <row r="11" spans="1:21" s="50" customFormat="1">
      <c r="A11" s="95">
        <v>40853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>
        <f t="shared" si="0"/>
        <v>0</v>
      </c>
      <c r="U11" s="49">
        <f t="shared" si="1"/>
        <v>0</v>
      </c>
    </row>
    <row r="12" spans="1:21" s="54" customFormat="1">
      <c r="A12" s="95">
        <v>40854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>
        <v>-1</v>
      </c>
      <c r="M12" s="52">
        <v>-2</v>
      </c>
      <c r="N12" s="52"/>
      <c r="O12" s="52"/>
      <c r="P12" s="52"/>
      <c r="Q12" s="52"/>
      <c r="R12" s="52"/>
      <c r="S12" s="52">
        <v>-1</v>
      </c>
      <c r="T12" s="49">
        <f t="shared" si="0"/>
        <v>18.200000000000003</v>
      </c>
      <c r="U12" s="49">
        <f t="shared" si="1"/>
        <v>11.880400000000002</v>
      </c>
    </row>
    <row r="13" spans="1:21" s="50" customFormat="1">
      <c r="A13" s="95">
        <v>40855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>
        <f t="shared" si="0"/>
        <v>0</v>
      </c>
      <c r="U13" s="49">
        <f t="shared" si="1"/>
        <v>0</v>
      </c>
    </row>
    <row r="14" spans="1:21" s="54" customFormat="1">
      <c r="A14" s="95">
        <v>40856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49">
        <f t="shared" si="0"/>
        <v>0</v>
      </c>
      <c r="U14" s="49">
        <f t="shared" si="1"/>
        <v>0</v>
      </c>
    </row>
    <row r="15" spans="1:21" s="50" customFormat="1">
      <c r="A15" s="95">
        <v>40857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>
        <f t="shared" si="0"/>
        <v>0</v>
      </c>
      <c r="U15" s="49">
        <f t="shared" si="1"/>
        <v>0</v>
      </c>
    </row>
    <row r="16" spans="1:21" s="54" customFormat="1">
      <c r="A16" s="95">
        <v>40858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49">
        <f t="shared" si="0"/>
        <v>0</v>
      </c>
      <c r="U16" s="49">
        <f t="shared" si="1"/>
        <v>0</v>
      </c>
    </row>
    <row r="17" spans="1:21" s="50" customFormat="1">
      <c r="A17" s="95">
        <v>40859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>
        <f t="shared" si="0"/>
        <v>0</v>
      </c>
      <c r="U17" s="49">
        <f t="shared" si="1"/>
        <v>0</v>
      </c>
    </row>
    <row r="18" spans="1:21" s="54" customFormat="1">
      <c r="A18" s="95">
        <v>40860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49">
        <f t="shared" si="0"/>
        <v>0</v>
      </c>
      <c r="U18" s="49">
        <f t="shared" si="1"/>
        <v>0</v>
      </c>
    </row>
    <row r="19" spans="1:21" s="50" customFormat="1">
      <c r="A19" s="95">
        <v>40861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>
        <f t="shared" si="0"/>
        <v>0</v>
      </c>
      <c r="U19" s="49">
        <f t="shared" si="1"/>
        <v>0</v>
      </c>
    </row>
    <row r="20" spans="1:21" s="54" customFormat="1">
      <c r="A20" s="95">
        <v>40862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49">
        <f t="shared" si="0"/>
        <v>0</v>
      </c>
      <c r="U20" s="49">
        <f t="shared" si="1"/>
        <v>0</v>
      </c>
    </row>
    <row r="21" spans="1:21" s="50" customFormat="1">
      <c r="A21" s="95">
        <v>40863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>
        <f t="shared" si="0"/>
        <v>0</v>
      </c>
      <c r="U21" s="49">
        <f t="shared" si="1"/>
        <v>0</v>
      </c>
    </row>
    <row r="22" spans="1:21" s="54" customFormat="1">
      <c r="A22" s="95">
        <v>40864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49">
        <f t="shared" si="0"/>
        <v>0</v>
      </c>
      <c r="U22" s="49">
        <f t="shared" si="1"/>
        <v>0</v>
      </c>
    </row>
    <row r="23" spans="1:21" s="50" customFormat="1">
      <c r="A23" s="95">
        <v>40865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>
        <f t="shared" si="0"/>
        <v>0</v>
      </c>
      <c r="U23" s="49">
        <f t="shared" si="1"/>
        <v>0</v>
      </c>
    </row>
    <row r="24" spans="1:21" s="54" customFormat="1">
      <c r="A24" s="95">
        <v>40866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49">
        <f t="shared" si="0"/>
        <v>0</v>
      </c>
      <c r="U24" s="49">
        <f t="shared" si="1"/>
        <v>0</v>
      </c>
    </row>
    <row r="25" spans="1:21" s="50" customFormat="1">
      <c r="A25" s="95">
        <v>40867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>
        <f t="shared" si="0"/>
        <v>0</v>
      </c>
      <c r="U25" s="49">
        <f t="shared" si="1"/>
        <v>0</v>
      </c>
    </row>
    <row r="26" spans="1:21" s="54" customFormat="1">
      <c r="A26" s="95">
        <v>40868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49">
        <f t="shared" si="0"/>
        <v>0</v>
      </c>
      <c r="U26" s="49">
        <f t="shared" si="1"/>
        <v>0</v>
      </c>
    </row>
    <row r="27" spans="1:21" s="50" customFormat="1">
      <c r="A27" s="95">
        <v>40869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>
        <f t="shared" si="0"/>
        <v>0</v>
      </c>
      <c r="U27" s="49">
        <f t="shared" si="1"/>
        <v>0</v>
      </c>
    </row>
    <row r="28" spans="1:21" s="54" customFormat="1">
      <c r="A28" s="95">
        <v>40870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49">
        <f t="shared" si="0"/>
        <v>0</v>
      </c>
      <c r="U28" s="49">
        <f t="shared" si="1"/>
        <v>0</v>
      </c>
    </row>
    <row r="29" spans="1:21" s="50" customFormat="1">
      <c r="A29" s="95">
        <v>40871</v>
      </c>
      <c r="B29" s="48"/>
      <c r="C29" s="48"/>
      <c r="D29" s="48"/>
      <c r="E29" s="48"/>
      <c r="F29" s="48">
        <v>-1</v>
      </c>
      <c r="G29" s="48"/>
      <c r="H29" s="48"/>
      <c r="I29" s="48"/>
      <c r="J29" s="48">
        <v>-2</v>
      </c>
      <c r="K29" s="48">
        <v>-1</v>
      </c>
      <c r="L29" s="48">
        <v>-1</v>
      </c>
      <c r="M29" s="48"/>
      <c r="N29" s="48"/>
      <c r="O29" s="48">
        <v>-1</v>
      </c>
      <c r="P29" s="48"/>
      <c r="Q29" s="48">
        <v>-2</v>
      </c>
      <c r="R29" s="48">
        <v>-2</v>
      </c>
      <c r="S29" s="48"/>
      <c r="T29" s="49">
        <f t="shared" si="0"/>
        <v>34.6</v>
      </c>
      <c r="U29" s="49">
        <f t="shared" si="1"/>
        <v>23.246533333333332</v>
      </c>
    </row>
    <row r="30" spans="1:21" s="54" customFormat="1">
      <c r="A30" s="95">
        <v>40872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49">
        <f t="shared" si="0"/>
        <v>0</v>
      </c>
      <c r="U30" s="49">
        <f t="shared" si="1"/>
        <v>0</v>
      </c>
    </row>
    <row r="31" spans="1:21" s="50" customFormat="1">
      <c r="A31" s="95">
        <v>40873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9">
        <f t="shared" si="0"/>
        <v>0</v>
      </c>
      <c r="U31" s="49">
        <f t="shared" si="1"/>
        <v>0</v>
      </c>
    </row>
    <row r="32" spans="1:21" s="54" customFormat="1">
      <c r="A32" s="95">
        <v>40874</v>
      </c>
      <c r="B32" s="52"/>
      <c r="C32" s="52"/>
      <c r="D32" s="52"/>
      <c r="E32" s="52"/>
      <c r="F32" s="52">
        <v>-1</v>
      </c>
      <c r="G32" s="52"/>
      <c r="H32" s="52"/>
      <c r="I32" s="52"/>
      <c r="J32" s="52"/>
      <c r="K32" s="52"/>
      <c r="L32" s="52"/>
      <c r="M32" s="52"/>
      <c r="N32" s="52"/>
      <c r="O32" s="52"/>
      <c r="P32" s="52">
        <v>-1</v>
      </c>
      <c r="Q32" s="52"/>
      <c r="R32" s="52">
        <v>-1</v>
      </c>
      <c r="S32" s="52"/>
      <c r="T32" s="49">
        <f t="shared" si="0"/>
        <v>9.3000000000000007</v>
      </c>
      <c r="U32" s="49">
        <f t="shared" si="1"/>
        <v>6.2750000000000004</v>
      </c>
    </row>
    <row r="33" spans="1:21" s="50" customFormat="1">
      <c r="A33" s="95">
        <v>40875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>
        <v>-1</v>
      </c>
      <c r="S33" s="48">
        <v>-1</v>
      </c>
      <c r="T33" s="49">
        <f t="shared" si="0"/>
        <v>5.9</v>
      </c>
      <c r="U33" s="49">
        <f t="shared" si="1"/>
        <v>3.8770000000000007</v>
      </c>
    </row>
    <row r="34" spans="1:21" s="54" customFormat="1">
      <c r="A34" s="95">
        <v>40876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49">
        <f t="shared" si="0"/>
        <v>0</v>
      </c>
      <c r="U34" s="49">
        <f t="shared" si="1"/>
        <v>0</v>
      </c>
    </row>
    <row r="35" spans="1:21" s="50" customForma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>
        <f t="shared" si="0"/>
        <v>0</v>
      </c>
      <c r="U35" s="49">
        <f t="shared" si="1"/>
        <v>0</v>
      </c>
    </row>
    <row r="36" spans="1:21">
      <c r="A36" s="13"/>
      <c r="B36" s="13"/>
      <c r="C36" s="13">
        <f t="shared" ref="C36:P36" si="2">SUM(C4:C35)</f>
        <v>3</v>
      </c>
      <c r="D36" s="13">
        <f t="shared" si="2"/>
        <v>0</v>
      </c>
      <c r="E36" s="13">
        <f t="shared" si="2"/>
        <v>6</v>
      </c>
      <c r="F36" s="13">
        <f t="shared" si="2"/>
        <v>0</v>
      </c>
      <c r="G36" s="13">
        <f t="shared" si="2"/>
        <v>3</v>
      </c>
      <c r="H36" s="13">
        <f t="shared" si="2"/>
        <v>2</v>
      </c>
      <c r="I36" s="13">
        <f t="shared" si="2"/>
        <v>3</v>
      </c>
      <c r="J36" s="13">
        <f t="shared" si="2"/>
        <v>1</v>
      </c>
      <c r="K36" s="13">
        <f t="shared" si="2"/>
        <v>3</v>
      </c>
      <c r="L36" s="13">
        <f t="shared" si="2"/>
        <v>1</v>
      </c>
      <c r="M36" s="13">
        <f t="shared" si="2"/>
        <v>2</v>
      </c>
      <c r="N36" s="13">
        <f t="shared" si="2"/>
        <v>2</v>
      </c>
      <c r="O36" s="13">
        <f t="shared" si="2"/>
        <v>5</v>
      </c>
      <c r="P36" s="13">
        <f t="shared" si="2"/>
        <v>3</v>
      </c>
      <c r="Q36" s="13">
        <f>SUM(Q4:Q35)</f>
        <v>-1</v>
      </c>
      <c r="R36" s="13">
        <f>SUM(R4:R35)</f>
        <v>-1</v>
      </c>
      <c r="S36" s="13">
        <f>SUM(S4:S35)</f>
        <v>1</v>
      </c>
      <c r="T36" s="29">
        <f>SUM(T5:T35)</f>
        <v>68.000000000000014</v>
      </c>
      <c r="U36" s="45">
        <f>SUM(U5:U35)</f>
        <v>45.278933333333335</v>
      </c>
    </row>
    <row r="37" spans="1:21">
      <c r="U37" s="61">
        <f>U36/T36</f>
        <v>0.6658666666666665</v>
      </c>
    </row>
    <row r="38" spans="1:21">
      <c r="C38">
        <f>C4-C36</f>
        <v>0</v>
      </c>
      <c r="D38">
        <f t="shared" ref="D38:S38" si="3">D4-D36</f>
        <v>0</v>
      </c>
      <c r="E38">
        <f t="shared" si="3"/>
        <v>0</v>
      </c>
      <c r="F38">
        <f t="shared" si="3"/>
        <v>2</v>
      </c>
      <c r="G38">
        <f t="shared" si="3"/>
        <v>0</v>
      </c>
      <c r="H38">
        <f t="shared" si="3"/>
        <v>0</v>
      </c>
      <c r="I38">
        <f t="shared" si="3"/>
        <v>0</v>
      </c>
      <c r="J38">
        <f t="shared" si="3"/>
        <v>2</v>
      </c>
      <c r="K38">
        <f t="shared" si="3"/>
        <v>1</v>
      </c>
      <c r="L38">
        <f t="shared" si="3"/>
        <v>2</v>
      </c>
      <c r="M38">
        <f t="shared" si="3"/>
        <v>2</v>
      </c>
      <c r="N38">
        <f t="shared" si="3"/>
        <v>0</v>
      </c>
      <c r="O38">
        <f t="shared" si="3"/>
        <v>1</v>
      </c>
      <c r="P38">
        <f t="shared" si="3"/>
        <v>1</v>
      </c>
      <c r="Q38">
        <f t="shared" si="3"/>
        <v>2</v>
      </c>
      <c r="R38">
        <f t="shared" si="3"/>
        <v>4</v>
      </c>
      <c r="S38">
        <f t="shared" si="3"/>
        <v>2</v>
      </c>
    </row>
  </sheetData>
  <phoneticPr fontId="6" type="noConversion"/>
  <pageMargins left="0.55314960629921262" right="0.55314960629921262" top="0.80314960629921262" bottom="0.80314960629921262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T38"/>
  <sheetViews>
    <sheetView zoomScale="125" workbookViewId="0">
      <pane xSplit="1" ySplit="4" topLeftCell="E33" activePane="bottomRight" state="frozen"/>
      <selection pane="topRight" activeCell="B1" sqref="B1"/>
      <selection pane="bottomLeft" activeCell="A5" sqref="A5"/>
      <selection pane="bottomRight" activeCell="J33" sqref="J33"/>
    </sheetView>
  </sheetViews>
  <sheetFormatPr baseColWidth="10" defaultRowHeight="13"/>
  <cols>
    <col min="1" max="1" width="19.5703125" customWidth="1"/>
    <col min="2" max="2" width="6.42578125" customWidth="1"/>
  </cols>
  <sheetData>
    <row r="1" spans="1:20" ht="63" customHeight="1">
      <c r="A1" s="39" t="s">
        <v>68</v>
      </c>
      <c r="B1" s="21" t="s">
        <v>28</v>
      </c>
      <c r="C1" s="41" t="s">
        <v>109</v>
      </c>
      <c r="D1" s="41" t="s">
        <v>180</v>
      </c>
      <c r="E1" s="41" t="s">
        <v>17</v>
      </c>
      <c r="F1" s="41" t="s">
        <v>18</v>
      </c>
      <c r="G1" s="41" t="s">
        <v>19</v>
      </c>
      <c r="H1" s="41" t="s">
        <v>20</v>
      </c>
      <c r="I1" s="83" t="s">
        <v>201</v>
      </c>
      <c r="J1" s="41" t="s">
        <v>51</v>
      </c>
      <c r="K1" s="41" t="s">
        <v>46</v>
      </c>
      <c r="L1" s="41" t="s">
        <v>47</v>
      </c>
      <c r="M1" s="41" t="s">
        <v>48</v>
      </c>
      <c r="N1" s="41" t="s">
        <v>49</v>
      </c>
      <c r="O1" s="41" t="s">
        <v>22</v>
      </c>
      <c r="P1" s="41" t="s">
        <v>77</v>
      </c>
    </row>
    <row r="2" spans="1:20" s="34" customFormat="1" ht="29" customHeight="1">
      <c r="A2" s="35"/>
      <c r="C2" s="34">
        <v>2</v>
      </c>
      <c r="D2" s="34">
        <v>5</v>
      </c>
      <c r="E2" s="34">
        <v>1.6</v>
      </c>
      <c r="F2" s="34">
        <v>2</v>
      </c>
      <c r="G2" s="34">
        <v>2</v>
      </c>
      <c r="H2" s="34">
        <v>3.6</v>
      </c>
      <c r="I2" s="84">
        <v>2.2000000000000002</v>
      </c>
      <c r="J2" s="34">
        <v>2.5</v>
      </c>
      <c r="K2" s="34">
        <v>1</v>
      </c>
      <c r="L2" s="34">
        <v>2.8</v>
      </c>
      <c r="M2" s="34">
        <v>2</v>
      </c>
      <c r="N2" s="34">
        <v>4.5</v>
      </c>
      <c r="O2" s="34">
        <v>1.2</v>
      </c>
      <c r="P2" s="34">
        <v>3.8</v>
      </c>
    </row>
    <row r="3" spans="1:20" s="34" customFormat="1" ht="29" customHeight="1">
      <c r="A3" s="35"/>
      <c r="C3" s="69">
        <f>Sheet1!$C$96</f>
        <v>0.65900000000000003</v>
      </c>
      <c r="D3" s="69">
        <f>Sheet1!$C$97</f>
        <v>0.63479999999999992</v>
      </c>
      <c r="E3" s="69">
        <f>Sheet1!$C$98</f>
        <v>0.72500000000000009</v>
      </c>
      <c r="F3" s="69">
        <f>Sheet1!$C$99</f>
        <v>0.69933333333333336</v>
      </c>
      <c r="G3" s="69">
        <f>Sheet1!$C$100</f>
        <v>0.69199999999999995</v>
      </c>
      <c r="H3" s="69">
        <f>Sheet1!$C$101</f>
        <v>0.66388888888888886</v>
      </c>
      <c r="I3" s="85">
        <f>Sheet1!$C$102</f>
        <v>0.70600000000000007</v>
      </c>
      <c r="J3" s="70">
        <f>Sheet1!$C$103</f>
        <v>0.80199999999999994</v>
      </c>
      <c r="K3" s="69">
        <f>Sheet1!$C$104</f>
        <v>0.66120000000000001</v>
      </c>
      <c r="L3" s="69">
        <f>Sheet1!$C$105</f>
        <v>0.60714285714285721</v>
      </c>
      <c r="M3" s="69">
        <f>Sheet1!$C$106</f>
        <v>0.70300000000000007</v>
      </c>
      <c r="N3" s="69">
        <f>Sheet1!$C$107</f>
        <v>0.81047619047619046</v>
      </c>
      <c r="O3" s="69">
        <f>Sheet1!$C$108</f>
        <v>0.73749999999999993</v>
      </c>
      <c r="P3" s="69">
        <f>Sheet1!$C$110</f>
        <v>0.76218571428571424</v>
      </c>
    </row>
    <row r="4" spans="1:20">
      <c r="C4">
        <v>4</v>
      </c>
      <c r="D4">
        <v>4</v>
      </c>
      <c r="E4">
        <v>6</v>
      </c>
      <c r="F4">
        <v>6</v>
      </c>
      <c r="G4">
        <v>5</v>
      </c>
      <c r="H4">
        <v>5</v>
      </c>
      <c r="I4" s="86">
        <v>6</v>
      </c>
      <c r="J4">
        <v>4</v>
      </c>
      <c r="K4">
        <v>5</v>
      </c>
      <c r="L4">
        <v>4</v>
      </c>
      <c r="M4">
        <v>3</v>
      </c>
      <c r="N4">
        <v>3</v>
      </c>
      <c r="O4">
        <v>7</v>
      </c>
      <c r="P4">
        <v>8</v>
      </c>
    </row>
    <row r="5" spans="1:20" s="50" customFormat="1">
      <c r="A5" s="95">
        <v>40847</v>
      </c>
      <c r="B5" s="48"/>
      <c r="C5" s="48"/>
      <c r="D5" s="48"/>
      <c r="E5" s="48"/>
      <c r="F5" s="48"/>
      <c r="G5" s="48"/>
      <c r="H5" s="81"/>
      <c r="I5" s="48"/>
      <c r="J5" s="48"/>
      <c r="K5" s="48"/>
      <c r="L5" s="48"/>
      <c r="M5" s="48"/>
      <c r="N5" s="48"/>
      <c r="O5" s="48"/>
      <c r="P5" s="48"/>
      <c r="Q5" s="48"/>
      <c r="R5" s="49">
        <f>-((C$2*C5)+(D$2*D5)+(E$2*E5)+(F$2*F5)+(G$2*G5)+(H$2*H5)+(I$2*I5)+(J$2*J5)+(K$2*K5)+(L$2*L5)+(M$2*M5)+(N$2*N5)+(O$2*O5)+(P$2*P5))</f>
        <v>0</v>
      </c>
      <c r="S5" s="49">
        <f>-((C$2*C$3*C5)+(D$2*D$3*D5)+(E$2*E$3*E5)+(F$2*F$3*F5)+(G$2*G$3*G5)+(H$2*H$3*H5)+(I$2*I$3*I5)+(J$2*J$3*J5)+(K$2*K$3*K5)+(L$2*L$3*L5)+(M$2*M$3*M5)+(N$2*N$3*N5)+(O$2*O$3*O5)+(P$2*P$3*P5))</f>
        <v>0</v>
      </c>
      <c r="T5" s="88" t="e">
        <f>S5/R5</f>
        <v>#DIV/0!</v>
      </c>
    </row>
    <row r="6" spans="1:20">
      <c r="A6" s="95">
        <v>40848</v>
      </c>
      <c r="B6" s="13"/>
      <c r="C6" s="13"/>
      <c r="D6" s="13"/>
      <c r="E6" s="13"/>
      <c r="F6" s="13"/>
      <c r="G6" s="13"/>
      <c r="H6" s="82"/>
      <c r="I6" s="13"/>
      <c r="J6" s="13"/>
      <c r="K6" s="13"/>
      <c r="L6" s="13"/>
      <c r="M6" s="13"/>
      <c r="N6" s="13"/>
      <c r="O6" s="13"/>
      <c r="P6" s="13"/>
      <c r="Q6" s="13"/>
      <c r="R6" s="29">
        <f>-((C$2*C6)+(D$2*D6)+(E$2*E6)+(F$2*F6)+(G$2*G6)+(H$2*H6)+(I$2*I6)+(K$2*K6)+(L$2*L6)+(M$2*M6)+(N$2*N6)+(O$2*O6)+(P$2*P6))</f>
        <v>0</v>
      </c>
      <c r="S6" s="53">
        <f>-((C$2*C$4*C6)+(D$2*D$3*D6)+(E$2*E$3*E6)+(F$2*F$3*F6)+(G$2*G$3*G6)+(H$2*H$3*H6)+(I$2*I$3*I6)+(K$2*K$3*K6)+(L$2*L$3*L6)+(M$2*M$3*M6)+(N$2*N$3*N6)+(O$2*O$3*O6)+(P$2*P$3*P6))</f>
        <v>0</v>
      </c>
      <c r="T6" s="88" t="e">
        <f t="shared" ref="T6:T35" si="0">S6/R6</f>
        <v>#DIV/0!</v>
      </c>
    </row>
    <row r="7" spans="1:20" s="50" customFormat="1">
      <c r="A7" s="95">
        <v>40849</v>
      </c>
      <c r="B7" s="48"/>
      <c r="C7" s="48"/>
      <c r="D7" s="48"/>
      <c r="E7" s="48"/>
      <c r="F7" s="48"/>
      <c r="G7" s="48"/>
      <c r="H7" s="81"/>
      <c r="I7" s="48"/>
      <c r="J7" s="48"/>
      <c r="K7" s="48"/>
      <c r="L7" s="48"/>
      <c r="M7" s="48"/>
      <c r="N7" s="48"/>
      <c r="O7" s="48"/>
      <c r="P7" s="48"/>
      <c r="Q7" s="48"/>
      <c r="R7" s="49">
        <f t="shared" ref="R7:R34" si="1">-((C$2*C7)+(D$2*D7)+(E$2*E7)+(F$2*F7)+(G$2*G7)+(H$2*H7)+(I$2*I7)+(K$2*K7)+(L$2*L7)+(M$2*M7)+(N$2*N7)+(O$2*O7)+(P$2*P7))</f>
        <v>0</v>
      </c>
      <c r="S7" s="49">
        <f t="shared" ref="S7:S35" si="2">-((C$2*C$4*C7)+(D$2*D$3*D7)+(E$2*E$3*E7)+(F$2*F$3*F7)+(G$2*G$3*G7)+(H$2*H$3*H7)+(I$2*I$3*I7)+(K$2*K$3*K7)+(L$2*L$3*L7)+(M$2*M$3*M7)+(N$2*N$3*N7)+(O$2*O$3*O7)+(P$2*P$3*P7))</f>
        <v>0</v>
      </c>
      <c r="T7" s="88" t="e">
        <f t="shared" si="0"/>
        <v>#DIV/0!</v>
      </c>
    </row>
    <row r="8" spans="1:20">
      <c r="A8" s="95">
        <v>40850</v>
      </c>
      <c r="B8" s="13"/>
      <c r="C8" s="13"/>
      <c r="D8" s="13"/>
      <c r="E8" s="13"/>
      <c r="F8" s="13"/>
      <c r="G8" s="13"/>
      <c r="H8" s="82"/>
      <c r="I8" s="13"/>
      <c r="J8" s="13"/>
      <c r="K8" s="13"/>
      <c r="L8" s="13"/>
      <c r="M8" s="13"/>
      <c r="N8" s="13"/>
      <c r="O8" s="13"/>
      <c r="P8" s="13"/>
      <c r="Q8" s="13"/>
      <c r="R8" s="29">
        <f t="shared" si="1"/>
        <v>0</v>
      </c>
      <c r="S8" s="53">
        <f t="shared" si="2"/>
        <v>0</v>
      </c>
      <c r="T8" s="88" t="e">
        <f t="shared" si="0"/>
        <v>#DIV/0!</v>
      </c>
    </row>
    <row r="9" spans="1:20" s="50" customFormat="1">
      <c r="A9" s="95">
        <v>40851</v>
      </c>
      <c r="B9" s="48"/>
      <c r="C9" s="48"/>
      <c r="D9" s="48"/>
      <c r="E9" s="48"/>
      <c r="F9" s="48"/>
      <c r="G9" s="48"/>
      <c r="H9" s="81"/>
      <c r="I9" s="48"/>
      <c r="J9" s="48"/>
      <c r="K9" s="48"/>
      <c r="L9" s="48"/>
      <c r="M9" s="48"/>
      <c r="N9" s="48"/>
      <c r="O9" s="48"/>
      <c r="P9" s="48"/>
      <c r="Q9" s="48"/>
      <c r="R9" s="49">
        <f t="shared" si="1"/>
        <v>0</v>
      </c>
      <c r="S9" s="49">
        <f t="shared" si="2"/>
        <v>0</v>
      </c>
      <c r="T9" s="88" t="e">
        <f t="shared" si="0"/>
        <v>#DIV/0!</v>
      </c>
    </row>
    <row r="10" spans="1:20">
      <c r="A10" s="95">
        <v>40852</v>
      </c>
      <c r="B10" s="13"/>
      <c r="C10" s="13"/>
      <c r="D10" s="13"/>
      <c r="E10" s="13"/>
      <c r="F10" s="13"/>
      <c r="G10" s="13"/>
      <c r="H10" s="82"/>
      <c r="I10" s="13"/>
      <c r="J10" s="13"/>
      <c r="K10" s="13"/>
      <c r="L10" s="13"/>
      <c r="M10" s="13"/>
      <c r="N10" s="13"/>
      <c r="O10" s="13"/>
      <c r="P10" s="13"/>
      <c r="Q10" s="13"/>
      <c r="R10" s="29">
        <f t="shared" si="1"/>
        <v>0</v>
      </c>
      <c r="S10" s="53">
        <f t="shared" si="2"/>
        <v>0</v>
      </c>
      <c r="T10" s="88" t="e">
        <f t="shared" si="0"/>
        <v>#DIV/0!</v>
      </c>
    </row>
    <row r="11" spans="1:20" s="50" customFormat="1">
      <c r="A11" s="95">
        <v>40853</v>
      </c>
      <c r="B11" s="48"/>
      <c r="C11" s="48"/>
      <c r="D11" s="48"/>
      <c r="E11" s="48"/>
      <c r="F11" s="48"/>
      <c r="G11" s="48"/>
      <c r="H11" s="81"/>
      <c r="I11" s="48"/>
      <c r="J11" s="48"/>
      <c r="K11" s="48"/>
      <c r="L11" s="48"/>
      <c r="M11" s="48"/>
      <c r="N11" s="48"/>
      <c r="O11" s="48"/>
      <c r="P11" s="48"/>
      <c r="Q11" s="48"/>
      <c r="R11" s="49">
        <f t="shared" si="1"/>
        <v>0</v>
      </c>
      <c r="S11" s="49">
        <f t="shared" si="2"/>
        <v>0</v>
      </c>
      <c r="T11" s="88" t="e">
        <f t="shared" si="0"/>
        <v>#DIV/0!</v>
      </c>
    </row>
    <row r="12" spans="1:20">
      <c r="A12" s="95">
        <v>40854</v>
      </c>
      <c r="B12" s="13"/>
      <c r="C12" s="13"/>
      <c r="D12" s="13"/>
      <c r="E12" s="13">
        <v>-1</v>
      </c>
      <c r="F12" s="13">
        <v>-2</v>
      </c>
      <c r="G12" s="13">
        <v>-1</v>
      </c>
      <c r="H12" s="82"/>
      <c r="I12" s="13"/>
      <c r="J12" s="13"/>
      <c r="K12" s="13">
        <v>-1</v>
      </c>
      <c r="L12" s="13"/>
      <c r="M12" s="13"/>
      <c r="N12" s="13">
        <v>-1</v>
      </c>
      <c r="O12" s="13">
        <v>-2</v>
      </c>
      <c r="P12" s="13">
        <v>-2</v>
      </c>
      <c r="Q12" s="13"/>
      <c r="R12" s="29">
        <f t="shared" si="1"/>
        <v>23.1</v>
      </c>
      <c r="S12" s="53">
        <f t="shared" si="2"/>
        <v>17.212287619047618</v>
      </c>
      <c r="T12" s="88">
        <f t="shared" si="0"/>
        <v>0.74512067614924749</v>
      </c>
    </row>
    <row r="13" spans="1:20" s="50" customFormat="1">
      <c r="A13" s="95">
        <v>40855</v>
      </c>
      <c r="B13" s="48"/>
      <c r="C13" s="48"/>
      <c r="D13" s="48"/>
      <c r="E13" s="48"/>
      <c r="F13" s="48"/>
      <c r="G13" s="48"/>
      <c r="H13" s="81"/>
      <c r="I13" s="48"/>
      <c r="J13" s="48"/>
      <c r="K13" s="48"/>
      <c r="L13" s="48"/>
      <c r="M13" s="48"/>
      <c r="N13" s="48"/>
      <c r="O13" s="48"/>
      <c r="P13" s="48"/>
      <c r="Q13" s="48"/>
      <c r="R13" s="49">
        <f t="shared" si="1"/>
        <v>0</v>
      </c>
      <c r="S13" s="49">
        <f t="shared" si="2"/>
        <v>0</v>
      </c>
      <c r="T13" s="88" t="e">
        <f t="shared" si="0"/>
        <v>#DIV/0!</v>
      </c>
    </row>
    <row r="14" spans="1:20">
      <c r="A14" s="95">
        <v>40856</v>
      </c>
      <c r="B14" s="13"/>
      <c r="C14" s="13"/>
      <c r="D14" s="13"/>
      <c r="E14" s="13"/>
      <c r="F14" s="13"/>
      <c r="G14" s="13"/>
      <c r="H14" s="82"/>
      <c r="I14" s="13"/>
      <c r="J14" s="13"/>
      <c r="K14" s="13"/>
      <c r="L14" s="13"/>
      <c r="M14" s="13"/>
      <c r="N14" s="13"/>
      <c r="O14" s="13"/>
      <c r="P14" s="13"/>
      <c r="Q14" s="13"/>
      <c r="R14" s="29">
        <f t="shared" si="1"/>
        <v>0</v>
      </c>
      <c r="S14" s="53">
        <f t="shared" si="2"/>
        <v>0</v>
      </c>
      <c r="T14" s="88" t="e">
        <f t="shared" si="0"/>
        <v>#DIV/0!</v>
      </c>
    </row>
    <row r="15" spans="1:20" s="50" customFormat="1">
      <c r="A15" s="95">
        <v>40857</v>
      </c>
      <c r="B15" s="48"/>
      <c r="C15" s="48"/>
      <c r="D15" s="48"/>
      <c r="E15" s="48"/>
      <c r="F15" s="48"/>
      <c r="G15" s="48"/>
      <c r="H15" s="81"/>
      <c r="I15" s="48"/>
      <c r="J15" s="48"/>
      <c r="K15" s="48"/>
      <c r="L15" s="48"/>
      <c r="M15" s="48"/>
      <c r="N15" s="48"/>
      <c r="O15" s="48"/>
      <c r="P15" s="48"/>
      <c r="Q15" s="48"/>
      <c r="R15" s="49">
        <f t="shared" si="1"/>
        <v>0</v>
      </c>
      <c r="S15" s="49">
        <f t="shared" si="2"/>
        <v>0</v>
      </c>
      <c r="T15" s="88" t="e">
        <f t="shared" si="0"/>
        <v>#DIV/0!</v>
      </c>
    </row>
    <row r="16" spans="1:20">
      <c r="A16" s="95">
        <v>40858</v>
      </c>
      <c r="B16" s="13"/>
      <c r="C16" s="13"/>
      <c r="D16" s="13"/>
      <c r="E16" s="13"/>
      <c r="F16" s="13"/>
      <c r="G16" s="13"/>
      <c r="H16" s="82"/>
      <c r="I16" s="13"/>
      <c r="J16" s="13"/>
      <c r="K16" s="13"/>
      <c r="L16" s="13"/>
      <c r="M16" s="13"/>
      <c r="N16" s="13"/>
      <c r="O16" s="13"/>
      <c r="P16" s="13"/>
      <c r="Q16" s="13"/>
      <c r="R16" s="29">
        <f t="shared" si="1"/>
        <v>0</v>
      </c>
      <c r="S16" s="53">
        <f t="shared" si="2"/>
        <v>0</v>
      </c>
      <c r="T16" s="88" t="e">
        <f t="shared" si="0"/>
        <v>#DIV/0!</v>
      </c>
    </row>
    <row r="17" spans="1:20" s="50" customFormat="1">
      <c r="A17" s="95">
        <v>40859</v>
      </c>
      <c r="B17" s="48"/>
      <c r="C17" s="48">
        <v>-1</v>
      </c>
      <c r="D17" s="48"/>
      <c r="E17" s="48"/>
      <c r="F17" s="48"/>
      <c r="G17" s="48">
        <v>-2</v>
      </c>
      <c r="H17" s="81"/>
      <c r="I17" s="48"/>
      <c r="J17" s="48"/>
      <c r="K17" s="48"/>
      <c r="L17" s="48"/>
      <c r="M17" s="48"/>
      <c r="N17" s="48"/>
      <c r="O17" s="48"/>
      <c r="P17" s="48">
        <v>-2</v>
      </c>
      <c r="Q17" s="48"/>
      <c r="R17" s="49">
        <f t="shared" si="1"/>
        <v>13.6</v>
      </c>
      <c r="S17" s="49">
        <f t="shared" si="2"/>
        <v>16.560611428571427</v>
      </c>
      <c r="T17" s="88">
        <f t="shared" si="0"/>
        <v>1.2176920168067227</v>
      </c>
    </row>
    <row r="18" spans="1:20">
      <c r="A18" s="95">
        <v>40860</v>
      </c>
      <c r="B18" s="13"/>
      <c r="C18" s="13"/>
      <c r="D18" s="13"/>
      <c r="E18" s="13"/>
      <c r="F18" s="13"/>
      <c r="G18" s="13"/>
      <c r="H18" s="82"/>
      <c r="I18" s="13"/>
      <c r="J18" s="13"/>
      <c r="K18" s="13"/>
      <c r="L18" s="13"/>
      <c r="M18" s="13"/>
      <c r="N18" s="13"/>
      <c r="O18" s="13"/>
      <c r="P18" s="13"/>
      <c r="Q18" s="13"/>
      <c r="R18" s="29">
        <f t="shared" si="1"/>
        <v>0</v>
      </c>
      <c r="S18" s="53">
        <f t="shared" si="2"/>
        <v>0</v>
      </c>
      <c r="T18" s="88" t="e">
        <f t="shared" si="0"/>
        <v>#DIV/0!</v>
      </c>
    </row>
    <row r="19" spans="1:20" s="50" customFormat="1">
      <c r="A19" s="95">
        <v>40861</v>
      </c>
      <c r="B19" s="48"/>
      <c r="C19" s="48"/>
      <c r="D19" s="48"/>
      <c r="E19" s="48"/>
      <c r="F19" s="48"/>
      <c r="G19" s="48"/>
      <c r="H19" s="81"/>
      <c r="I19" s="48"/>
      <c r="J19" s="48"/>
      <c r="K19" s="48"/>
      <c r="L19" s="48"/>
      <c r="M19" s="48"/>
      <c r="N19" s="48"/>
      <c r="O19" s="48"/>
      <c r="P19" s="48"/>
      <c r="Q19" s="48"/>
      <c r="R19" s="49">
        <f t="shared" si="1"/>
        <v>0</v>
      </c>
      <c r="S19" s="49">
        <f t="shared" si="2"/>
        <v>0</v>
      </c>
      <c r="T19" s="88" t="e">
        <f t="shared" si="0"/>
        <v>#DIV/0!</v>
      </c>
    </row>
    <row r="20" spans="1:20">
      <c r="A20" s="95">
        <v>40862</v>
      </c>
      <c r="B20" s="13"/>
      <c r="C20" s="13"/>
      <c r="D20" s="13"/>
      <c r="E20" s="13"/>
      <c r="F20" s="13"/>
      <c r="G20" s="13"/>
      <c r="H20" s="82"/>
      <c r="I20" s="13"/>
      <c r="J20" s="13"/>
      <c r="K20" s="13"/>
      <c r="L20" s="13"/>
      <c r="M20" s="13"/>
      <c r="N20" s="13"/>
      <c r="O20" s="13"/>
      <c r="P20" s="13"/>
      <c r="Q20" s="13"/>
      <c r="R20" s="29">
        <f t="shared" si="1"/>
        <v>0</v>
      </c>
      <c r="S20" s="53">
        <f t="shared" si="2"/>
        <v>0</v>
      </c>
      <c r="T20" s="88" t="e">
        <f t="shared" si="0"/>
        <v>#DIV/0!</v>
      </c>
    </row>
    <row r="21" spans="1:20" s="50" customFormat="1">
      <c r="A21" s="95">
        <v>40863</v>
      </c>
      <c r="B21" s="48"/>
      <c r="C21" s="48"/>
      <c r="D21" s="48"/>
      <c r="E21" s="48"/>
      <c r="F21" s="48"/>
      <c r="G21" s="48"/>
      <c r="H21" s="81"/>
      <c r="I21" s="48"/>
      <c r="J21" s="48"/>
      <c r="K21" s="48"/>
      <c r="L21" s="48"/>
      <c r="M21" s="48"/>
      <c r="N21" s="48"/>
      <c r="O21" s="48"/>
      <c r="P21" s="48"/>
      <c r="Q21" s="48"/>
      <c r="R21" s="49">
        <f t="shared" si="1"/>
        <v>0</v>
      </c>
      <c r="S21" s="49">
        <f t="shared" si="2"/>
        <v>0</v>
      </c>
      <c r="T21" s="88" t="e">
        <f t="shared" si="0"/>
        <v>#DIV/0!</v>
      </c>
    </row>
    <row r="22" spans="1:20">
      <c r="A22" s="95">
        <v>40864</v>
      </c>
      <c r="B22" s="13"/>
      <c r="C22" s="13"/>
      <c r="D22" s="13"/>
      <c r="E22" s="13"/>
      <c r="F22" s="13"/>
      <c r="G22" s="13"/>
      <c r="H22" s="82"/>
      <c r="I22" s="13"/>
      <c r="J22" s="13"/>
      <c r="K22" s="13"/>
      <c r="L22" s="13"/>
      <c r="M22" s="13"/>
      <c r="N22" s="13"/>
      <c r="O22" s="13"/>
      <c r="P22" s="13"/>
      <c r="Q22" s="13"/>
      <c r="R22" s="29">
        <f t="shared" si="1"/>
        <v>0</v>
      </c>
      <c r="S22" s="53">
        <f t="shared" si="2"/>
        <v>0</v>
      </c>
      <c r="T22" s="88" t="e">
        <f t="shared" si="0"/>
        <v>#DIV/0!</v>
      </c>
    </row>
    <row r="23" spans="1:20" s="50" customFormat="1">
      <c r="A23" s="95">
        <v>40865</v>
      </c>
      <c r="B23" s="48"/>
      <c r="C23" s="48"/>
      <c r="D23" s="48"/>
      <c r="E23" s="48"/>
      <c r="F23" s="48"/>
      <c r="G23" s="48"/>
      <c r="H23" s="81"/>
      <c r="I23" s="48"/>
      <c r="J23" s="48"/>
      <c r="K23" s="48"/>
      <c r="L23" s="48"/>
      <c r="M23" s="48"/>
      <c r="N23" s="48"/>
      <c r="O23" s="48"/>
      <c r="P23" s="48"/>
      <c r="Q23" s="48"/>
      <c r="R23" s="49">
        <f t="shared" si="1"/>
        <v>0</v>
      </c>
      <c r="S23" s="49">
        <f t="shared" si="2"/>
        <v>0</v>
      </c>
      <c r="T23" s="88" t="e">
        <f t="shared" si="0"/>
        <v>#DIV/0!</v>
      </c>
    </row>
    <row r="24" spans="1:20">
      <c r="A24" s="95">
        <v>40866</v>
      </c>
      <c r="B24" s="13"/>
      <c r="C24" s="13"/>
      <c r="D24" s="13"/>
      <c r="E24" s="13"/>
      <c r="F24" s="13"/>
      <c r="G24" s="13"/>
      <c r="H24" s="82"/>
      <c r="I24" s="13"/>
      <c r="J24" s="13"/>
      <c r="K24" s="13"/>
      <c r="L24" s="13"/>
      <c r="M24" s="13"/>
      <c r="N24" s="13"/>
      <c r="O24" s="13"/>
      <c r="P24" s="13"/>
      <c r="Q24" s="13"/>
      <c r="R24" s="29">
        <f t="shared" si="1"/>
        <v>0</v>
      </c>
      <c r="S24" s="53">
        <f t="shared" si="2"/>
        <v>0</v>
      </c>
      <c r="T24" s="88" t="e">
        <f t="shared" si="0"/>
        <v>#DIV/0!</v>
      </c>
    </row>
    <row r="25" spans="1:20" s="50" customFormat="1">
      <c r="A25" s="95">
        <v>40867</v>
      </c>
      <c r="B25" s="48"/>
      <c r="C25" s="48"/>
      <c r="D25" s="48"/>
      <c r="E25" s="48"/>
      <c r="F25" s="48"/>
      <c r="G25" s="48"/>
      <c r="H25" s="81"/>
      <c r="I25" s="48"/>
      <c r="J25" s="48"/>
      <c r="K25" s="48"/>
      <c r="L25" s="48"/>
      <c r="M25" s="48"/>
      <c r="N25" s="48"/>
      <c r="O25" s="48"/>
      <c r="P25" s="48"/>
      <c r="Q25" s="48"/>
      <c r="R25" s="49">
        <f t="shared" si="1"/>
        <v>0</v>
      </c>
      <c r="S25" s="49">
        <f t="shared" si="2"/>
        <v>0</v>
      </c>
      <c r="T25" s="88" t="e">
        <f t="shared" si="0"/>
        <v>#DIV/0!</v>
      </c>
    </row>
    <row r="26" spans="1:20">
      <c r="A26" s="95">
        <v>40868</v>
      </c>
      <c r="B26" s="13"/>
      <c r="C26" s="13"/>
      <c r="D26" s="13"/>
      <c r="E26" s="13"/>
      <c r="F26" s="13"/>
      <c r="G26" s="13"/>
      <c r="H26" s="82"/>
      <c r="I26" s="13"/>
      <c r="J26" s="13"/>
      <c r="K26" s="13"/>
      <c r="L26" s="13"/>
      <c r="M26" s="13"/>
      <c r="N26" s="13"/>
      <c r="O26" s="13"/>
      <c r="P26" s="13"/>
      <c r="Q26" s="13"/>
      <c r="R26" s="29">
        <f t="shared" si="1"/>
        <v>0</v>
      </c>
      <c r="S26" s="53">
        <f t="shared" si="2"/>
        <v>0</v>
      </c>
      <c r="T26" s="88" t="e">
        <f t="shared" si="0"/>
        <v>#DIV/0!</v>
      </c>
    </row>
    <row r="27" spans="1:20" s="50" customFormat="1">
      <c r="A27" s="95">
        <v>40869</v>
      </c>
      <c r="B27" s="48"/>
      <c r="C27" s="48"/>
      <c r="D27" s="48"/>
      <c r="E27" s="48"/>
      <c r="F27" s="48"/>
      <c r="G27" s="48"/>
      <c r="H27" s="81"/>
      <c r="I27" s="48"/>
      <c r="J27" s="48"/>
      <c r="K27" s="48"/>
      <c r="L27" s="48"/>
      <c r="M27" s="48"/>
      <c r="N27" s="48"/>
      <c r="O27" s="48"/>
      <c r="P27" s="48"/>
      <c r="Q27" s="48"/>
      <c r="R27" s="49">
        <f t="shared" si="1"/>
        <v>0</v>
      </c>
      <c r="S27" s="49">
        <f t="shared" si="2"/>
        <v>0</v>
      </c>
      <c r="T27" s="88" t="e">
        <f t="shared" si="0"/>
        <v>#DIV/0!</v>
      </c>
    </row>
    <row r="28" spans="1:20">
      <c r="A28" s="95">
        <v>40870</v>
      </c>
      <c r="B28" s="13"/>
      <c r="C28" s="13"/>
      <c r="D28" s="13"/>
      <c r="E28" s="13"/>
      <c r="F28" s="13"/>
      <c r="G28" s="13"/>
      <c r="H28" s="82"/>
      <c r="I28" s="13"/>
      <c r="J28" s="13"/>
      <c r="K28" s="13"/>
      <c r="L28" s="13"/>
      <c r="M28" s="13"/>
      <c r="N28" s="13"/>
      <c r="O28" s="13"/>
      <c r="P28" s="13"/>
      <c r="Q28" s="13"/>
      <c r="R28" s="29">
        <f t="shared" si="1"/>
        <v>0</v>
      </c>
      <c r="S28" s="53">
        <f t="shared" si="2"/>
        <v>0</v>
      </c>
      <c r="T28" s="88" t="e">
        <f t="shared" si="0"/>
        <v>#DIV/0!</v>
      </c>
    </row>
    <row r="29" spans="1:20" s="50" customFormat="1">
      <c r="A29" s="95">
        <v>40871</v>
      </c>
      <c r="B29" s="48"/>
      <c r="C29" s="48"/>
      <c r="D29" s="48"/>
      <c r="E29" s="48"/>
      <c r="F29" s="48"/>
      <c r="G29" s="48"/>
      <c r="H29" s="81"/>
      <c r="I29" s="48"/>
      <c r="J29" s="48"/>
      <c r="K29" s="48"/>
      <c r="L29" s="48"/>
      <c r="M29" s="48"/>
      <c r="N29" s="48"/>
      <c r="O29" s="48"/>
      <c r="P29" s="48"/>
      <c r="Q29" s="48"/>
      <c r="R29" s="49">
        <f t="shared" si="1"/>
        <v>0</v>
      </c>
      <c r="S29" s="49">
        <f t="shared" si="2"/>
        <v>0</v>
      </c>
      <c r="T29" s="88" t="e">
        <f t="shared" si="0"/>
        <v>#DIV/0!</v>
      </c>
    </row>
    <row r="30" spans="1:20">
      <c r="A30" s="95">
        <v>40872</v>
      </c>
      <c r="B30" s="13"/>
      <c r="C30" s="13"/>
      <c r="D30" s="13"/>
      <c r="E30" s="13"/>
      <c r="F30" s="13"/>
      <c r="G30" s="13"/>
      <c r="H30" s="82"/>
      <c r="I30" s="13"/>
      <c r="J30" s="13"/>
      <c r="K30" s="13"/>
      <c r="L30" s="13"/>
      <c r="M30" s="13"/>
      <c r="N30" s="13"/>
      <c r="O30" s="13"/>
      <c r="P30" s="13"/>
      <c r="Q30" s="13"/>
      <c r="R30" s="29">
        <f t="shared" si="1"/>
        <v>0</v>
      </c>
      <c r="S30" s="53">
        <f t="shared" si="2"/>
        <v>0</v>
      </c>
      <c r="T30" s="88" t="e">
        <f t="shared" si="0"/>
        <v>#DIV/0!</v>
      </c>
    </row>
    <row r="31" spans="1:20" s="50" customFormat="1">
      <c r="A31" s="95">
        <v>40873</v>
      </c>
      <c r="B31" s="48"/>
      <c r="C31" s="48"/>
      <c r="D31" s="48"/>
      <c r="E31" s="48"/>
      <c r="F31" s="48"/>
      <c r="G31" s="48"/>
      <c r="H31" s="81"/>
      <c r="I31" s="48"/>
      <c r="J31" s="48"/>
      <c r="K31" s="48"/>
      <c r="L31" s="48"/>
      <c r="M31" s="48"/>
      <c r="N31" s="48"/>
      <c r="O31" s="48"/>
      <c r="P31" s="48"/>
      <c r="Q31" s="48"/>
      <c r="R31" s="49">
        <f t="shared" si="1"/>
        <v>0</v>
      </c>
      <c r="S31" s="49">
        <f t="shared" si="2"/>
        <v>0</v>
      </c>
      <c r="T31" s="88" t="e">
        <f t="shared" si="0"/>
        <v>#DIV/0!</v>
      </c>
    </row>
    <row r="32" spans="1:20">
      <c r="A32" s="95">
        <v>40874</v>
      </c>
      <c r="B32" s="13"/>
      <c r="C32" s="13">
        <v>-1</v>
      </c>
      <c r="D32" s="13"/>
      <c r="E32" s="13"/>
      <c r="F32" s="13"/>
      <c r="G32" s="13"/>
      <c r="H32" s="82"/>
      <c r="I32" s="13"/>
      <c r="J32" s="13"/>
      <c r="K32" s="13"/>
      <c r="L32" s="13">
        <v>-1</v>
      </c>
      <c r="M32" s="13">
        <v>-1</v>
      </c>
      <c r="N32" s="13"/>
      <c r="O32" s="13"/>
      <c r="P32" s="13"/>
      <c r="Q32" s="13"/>
      <c r="R32" s="29">
        <f t="shared" si="1"/>
        <v>6.8</v>
      </c>
      <c r="S32" s="53">
        <f t="shared" si="2"/>
        <v>11.106</v>
      </c>
      <c r="T32" s="88">
        <f t="shared" si="0"/>
        <v>1.6332352941176471</v>
      </c>
    </row>
    <row r="33" spans="1:20" s="50" customFormat="1">
      <c r="A33" s="95">
        <v>40875</v>
      </c>
      <c r="B33" s="48"/>
      <c r="C33" s="48"/>
      <c r="D33" s="48"/>
      <c r="E33" s="48"/>
      <c r="F33" s="48"/>
      <c r="G33" s="48"/>
      <c r="H33" s="81"/>
      <c r="I33" s="48">
        <v>-1</v>
      </c>
      <c r="J33" s="48"/>
      <c r="K33" s="48"/>
      <c r="L33" s="48"/>
      <c r="M33" s="48">
        <v>-1</v>
      </c>
      <c r="N33" s="48"/>
      <c r="O33" s="48"/>
      <c r="P33" s="48"/>
      <c r="Q33" s="48"/>
      <c r="R33" s="49">
        <f t="shared" si="1"/>
        <v>4.2</v>
      </c>
      <c r="S33" s="49">
        <f t="shared" si="2"/>
        <v>2.9592000000000005</v>
      </c>
      <c r="T33" s="88">
        <f t="shared" si="0"/>
        <v>0.70457142857142863</v>
      </c>
    </row>
    <row r="34" spans="1:20">
      <c r="A34" s="95">
        <v>40876</v>
      </c>
      <c r="B34" s="13"/>
      <c r="C34" s="13"/>
      <c r="D34" s="13"/>
      <c r="E34" s="13"/>
      <c r="F34" s="13"/>
      <c r="G34" s="13"/>
      <c r="H34" s="82"/>
      <c r="I34" s="13"/>
      <c r="J34" s="13"/>
      <c r="K34" s="13"/>
      <c r="L34" s="13"/>
      <c r="M34" s="13"/>
      <c r="N34" s="13"/>
      <c r="O34" s="13"/>
      <c r="P34" s="13"/>
      <c r="Q34" s="13"/>
      <c r="R34" s="29">
        <f t="shared" si="1"/>
        <v>0</v>
      </c>
      <c r="S34" s="53">
        <f t="shared" si="2"/>
        <v>0</v>
      </c>
      <c r="T34" s="88" t="e">
        <f t="shared" si="0"/>
        <v>#DIV/0!</v>
      </c>
    </row>
    <row r="35" spans="1:20" s="50" customFormat="1">
      <c r="A35" s="24"/>
      <c r="B35" s="48"/>
      <c r="C35" s="48"/>
      <c r="D35" s="48"/>
      <c r="E35" s="48"/>
      <c r="F35" s="48"/>
      <c r="G35" s="48"/>
      <c r="H35" s="81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9">
        <f t="shared" si="2"/>
        <v>0</v>
      </c>
      <c r="T35" s="88" t="e">
        <f t="shared" si="0"/>
        <v>#DIV/0!</v>
      </c>
    </row>
    <row r="36" spans="1:20">
      <c r="A36" s="13"/>
      <c r="B36" s="13"/>
      <c r="C36" s="13">
        <f t="shared" ref="C36:P36" si="3">SUM(C4:C35)</f>
        <v>2</v>
      </c>
      <c r="D36" s="13">
        <f t="shared" si="3"/>
        <v>4</v>
      </c>
      <c r="E36" s="13">
        <f t="shared" si="3"/>
        <v>5</v>
      </c>
      <c r="F36" s="13">
        <f t="shared" si="3"/>
        <v>4</v>
      </c>
      <c r="G36" s="13">
        <f t="shared" si="3"/>
        <v>2</v>
      </c>
      <c r="H36" s="82">
        <f t="shared" si="3"/>
        <v>5</v>
      </c>
      <c r="I36" s="13">
        <f t="shared" si="3"/>
        <v>5</v>
      </c>
      <c r="J36" s="13">
        <f>SUM(J4:J35)</f>
        <v>4</v>
      </c>
      <c r="K36" s="13">
        <f t="shared" si="3"/>
        <v>4</v>
      </c>
      <c r="L36" s="13">
        <f t="shared" si="3"/>
        <v>3</v>
      </c>
      <c r="M36" s="13">
        <f t="shared" si="3"/>
        <v>1</v>
      </c>
      <c r="N36" s="13">
        <f t="shared" si="3"/>
        <v>2</v>
      </c>
      <c r="O36" s="13">
        <f t="shared" si="3"/>
        <v>5</v>
      </c>
      <c r="P36" s="13">
        <f t="shared" si="3"/>
        <v>4</v>
      </c>
      <c r="Q36" s="13"/>
      <c r="R36" s="29">
        <f>SUM(R5:R35)</f>
        <v>47.7</v>
      </c>
      <c r="S36" s="29">
        <f>SUM(S5:S35)</f>
        <v>47.838099047619053</v>
      </c>
    </row>
    <row r="37" spans="1:20">
      <c r="I37" s="86"/>
    </row>
    <row r="38" spans="1:20">
      <c r="C38">
        <f>C4-C36</f>
        <v>2</v>
      </c>
      <c r="D38">
        <f t="shared" ref="D38:P38" si="4">D4-D36</f>
        <v>0</v>
      </c>
      <c r="E38">
        <f>E4-E36</f>
        <v>1</v>
      </c>
      <c r="F38">
        <f t="shared" si="4"/>
        <v>2</v>
      </c>
      <c r="G38">
        <f t="shared" si="4"/>
        <v>3</v>
      </c>
      <c r="H38">
        <f t="shared" si="4"/>
        <v>0</v>
      </c>
      <c r="I38" s="86">
        <f>I4-I36</f>
        <v>1</v>
      </c>
      <c r="J38">
        <f>J4-J36</f>
        <v>0</v>
      </c>
      <c r="K38">
        <f t="shared" si="4"/>
        <v>1</v>
      </c>
      <c r="L38">
        <f t="shared" si="4"/>
        <v>1</v>
      </c>
      <c r="M38">
        <f t="shared" si="4"/>
        <v>2</v>
      </c>
      <c r="N38">
        <f t="shared" si="4"/>
        <v>1</v>
      </c>
      <c r="O38">
        <f t="shared" si="4"/>
        <v>2</v>
      </c>
      <c r="P38">
        <f t="shared" si="4"/>
        <v>4</v>
      </c>
      <c r="S38" s="87">
        <f>S36/R36</f>
        <v>1.0028951582310073</v>
      </c>
    </row>
  </sheetData>
  <phoneticPr fontId="6" type="noConversion"/>
  <pageMargins left="0.55314960629921262" right="0.55314960629921262" top="0.80314960629921262" bottom="0.80314960629921262" header="0" footer="0"/>
  <ignoredErrors>
    <ignoredError sqref="G36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36"/>
  <sheetViews>
    <sheetView zoomScale="125" workbookViewId="0">
      <pane xSplit="1" ySplit="3" topLeftCell="B12" activePane="bottomRight" state="frozen"/>
      <selection pane="topRight" activeCell="B1" sqref="B1"/>
      <selection pane="bottomLeft" activeCell="A4" sqref="A4"/>
      <selection pane="bottomRight" activeCell="E33" sqref="E33"/>
    </sheetView>
  </sheetViews>
  <sheetFormatPr baseColWidth="10" defaultRowHeight="13"/>
  <cols>
    <col min="1" max="1" width="19.5703125" customWidth="1"/>
    <col min="2" max="2" width="6.42578125" customWidth="1"/>
  </cols>
  <sheetData>
    <row r="1" spans="1:7" ht="54">
      <c r="A1" s="39" t="s">
        <v>68</v>
      </c>
      <c r="B1" s="23" t="s">
        <v>44</v>
      </c>
      <c r="C1" s="22" t="s">
        <v>144</v>
      </c>
      <c r="D1" s="22" t="s">
        <v>33</v>
      </c>
    </row>
    <row r="2" spans="1:7" s="34" customFormat="1" ht="29" customHeight="1">
      <c r="A2" s="35"/>
      <c r="C2" s="34">
        <v>12</v>
      </c>
      <c r="D2" s="34">
        <v>20</v>
      </c>
    </row>
    <row r="3" spans="1:7" s="34" customFormat="1" ht="29" customHeight="1">
      <c r="A3" s="35"/>
      <c r="C3" s="70">
        <f>Sheet1!$C$153</f>
        <v>0.875</v>
      </c>
      <c r="D3" s="70">
        <f>Sheet1!$C$153</f>
        <v>0.875</v>
      </c>
    </row>
    <row r="4" spans="1:7">
      <c r="C4">
        <v>0</v>
      </c>
    </row>
    <row r="5" spans="1:7">
      <c r="A5" s="95">
        <v>40847</v>
      </c>
      <c r="F5" s="44">
        <f>-((C$2*C5)+(D$2*D5))</f>
        <v>0</v>
      </c>
      <c r="G5" s="66">
        <f>-((D$2*D$3*D5)+(C$2*C$3*C5))</f>
        <v>0</v>
      </c>
    </row>
    <row r="6" spans="1:7">
      <c r="A6" s="95">
        <v>40848</v>
      </c>
      <c r="F6" s="45">
        <f t="shared" ref="F6:F34" si="0">-((C$2*C6)+(D$2*D6))</f>
        <v>0</v>
      </c>
      <c r="G6" s="66">
        <f t="shared" ref="G6:G33" si="1">-((D$2*D$3*D6)+(C$2*C$3*C6))</f>
        <v>0</v>
      </c>
    </row>
    <row r="7" spans="1:7">
      <c r="A7" s="95">
        <v>40849</v>
      </c>
      <c r="F7" s="45">
        <f t="shared" si="0"/>
        <v>0</v>
      </c>
      <c r="G7" s="66">
        <f t="shared" si="1"/>
        <v>0</v>
      </c>
    </row>
    <row r="8" spans="1:7">
      <c r="A8" s="95">
        <v>40850</v>
      </c>
      <c r="F8" s="45">
        <f t="shared" si="0"/>
        <v>0</v>
      </c>
      <c r="G8" s="66">
        <f t="shared" si="1"/>
        <v>0</v>
      </c>
    </row>
    <row r="9" spans="1:7">
      <c r="A9" s="95">
        <v>40851</v>
      </c>
      <c r="F9" s="45">
        <f t="shared" si="0"/>
        <v>0</v>
      </c>
      <c r="G9" s="66">
        <f t="shared" si="1"/>
        <v>0</v>
      </c>
    </row>
    <row r="10" spans="1:7">
      <c r="A10" s="95">
        <v>40852</v>
      </c>
      <c r="F10" s="45">
        <f t="shared" si="0"/>
        <v>0</v>
      </c>
      <c r="G10" s="66">
        <f t="shared" si="1"/>
        <v>0</v>
      </c>
    </row>
    <row r="11" spans="1:7">
      <c r="A11" s="95">
        <v>40853</v>
      </c>
      <c r="F11" s="45">
        <f t="shared" si="0"/>
        <v>0</v>
      </c>
      <c r="G11" s="66">
        <f t="shared" si="1"/>
        <v>0</v>
      </c>
    </row>
    <row r="12" spans="1:7">
      <c r="A12" s="95">
        <v>40854</v>
      </c>
      <c r="F12" s="45">
        <f t="shared" si="0"/>
        <v>0</v>
      </c>
      <c r="G12" s="66">
        <f t="shared" si="1"/>
        <v>0</v>
      </c>
    </row>
    <row r="13" spans="1:7">
      <c r="A13" s="95">
        <v>40855</v>
      </c>
      <c r="F13" s="45">
        <f t="shared" si="0"/>
        <v>0</v>
      </c>
      <c r="G13" s="66">
        <f t="shared" si="1"/>
        <v>0</v>
      </c>
    </row>
    <row r="14" spans="1:7">
      <c r="A14" s="95">
        <v>40856</v>
      </c>
      <c r="F14" s="45">
        <f t="shared" si="0"/>
        <v>0</v>
      </c>
      <c r="G14" s="66">
        <f t="shared" si="1"/>
        <v>0</v>
      </c>
    </row>
    <row r="15" spans="1:7">
      <c r="A15" s="95">
        <v>40857</v>
      </c>
      <c r="F15" s="45">
        <f t="shared" si="0"/>
        <v>0</v>
      </c>
      <c r="G15" s="66">
        <f t="shared" si="1"/>
        <v>0</v>
      </c>
    </row>
    <row r="16" spans="1:7">
      <c r="A16" s="95">
        <v>40858</v>
      </c>
      <c r="F16" s="45">
        <f t="shared" si="0"/>
        <v>0</v>
      </c>
      <c r="G16" s="66">
        <f t="shared" si="1"/>
        <v>0</v>
      </c>
    </row>
    <row r="17" spans="1:7">
      <c r="A17" s="95">
        <v>40859</v>
      </c>
      <c r="F17" s="45">
        <f t="shared" si="0"/>
        <v>0</v>
      </c>
      <c r="G17" s="66">
        <f t="shared" si="1"/>
        <v>0</v>
      </c>
    </row>
    <row r="18" spans="1:7">
      <c r="A18" s="95">
        <v>40860</v>
      </c>
      <c r="F18" s="45">
        <f t="shared" si="0"/>
        <v>0</v>
      </c>
      <c r="G18" s="66">
        <f t="shared" si="1"/>
        <v>0</v>
      </c>
    </row>
    <row r="19" spans="1:7">
      <c r="A19" s="95">
        <v>40861</v>
      </c>
      <c r="F19" s="45">
        <f t="shared" si="0"/>
        <v>0</v>
      </c>
      <c r="G19" s="66">
        <f t="shared" si="1"/>
        <v>0</v>
      </c>
    </row>
    <row r="20" spans="1:7">
      <c r="A20" s="95">
        <v>40862</v>
      </c>
      <c r="F20" s="45">
        <f t="shared" si="0"/>
        <v>0</v>
      </c>
      <c r="G20" s="66">
        <f t="shared" si="1"/>
        <v>0</v>
      </c>
    </row>
    <row r="21" spans="1:7">
      <c r="A21" s="95">
        <v>40863</v>
      </c>
      <c r="F21" s="45">
        <f t="shared" si="0"/>
        <v>0</v>
      </c>
      <c r="G21" s="66">
        <f t="shared" si="1"/>
        <v>0</v>
      </c>
    </row>
    <row r="22" spans="1:7">
      <c r="A22" s="95">
        <v>40864</v>
      </c>
      <c r="F22" s="45">
        <f t="shared" si="0"/>
        <v>0</v>
      </c>
      <c r="G22" s="66">
        <f t="shared" si="1"/>
        <v>0</v>
      </c>
    </row>
    <row r="23" spans="1:7">
      <c r="A23" s="95">
        <v>40865</v>
      </c>
      <c r="F23" s="45">
        <f t="shared" si="0"/>
        <v>0</v>
      </c>
      <c r="G23" s="66">
        <f t="shared" si="1"/>
        <v>0</v>
      </c>
    </row>
    <row r="24" spans="1:7">
      <c r="A24" s="95">
        <v>40866</v>
      </c>
      <c r="F24" s="45">
        <f t="shared" si="0"/>
        <v>0</v>
      </c>
      <c r="G24" s="66">
        <f t="shared" si="1"/>
        <v>0</v>
      </c>
    </row>
    <row r="25" spans="1:7">
      <c r="A25" s="95">
        <v>40867</v>
      </c>
      <c r="F25" s="45">
        <f t="shared" si="0"/>
        <v>0</v>
      </c>
      <c r="G25" s="66">
        <f t="shared" si="1"/>
        <v>0</v>
      </c>
    </row>
    <row r="26" spans="1:7">
      <c r="A26" s="95">
        <v>40868</v>
      </c>
      <c r="F26" s="45">
        <f t="shared" si="0"/>
        <v>0</v>
      </c>
      <c r="G26" s="66">
        <f t="shared" si="1"/>
        <v>0</v>
      </c>
    </row>
    <row r="27" spans="1:7">
      <c r="A27" s="95">
        <v>40869</v>
      </c>
      <c r="F27" s="45">
        <f t="shared" si="0"/>
        <v>0</v>
      </c>
      <c r="G27" s="66">
        <f t="shared" si="1"/>
        <v>0</v>
      </c>
    </row>
    <row r="28" spans="1:7">
      <c r="A28" s="95">
        <v>40870</v>
      </c>
      <c r="F28" s="45">
        <f t="shared" si="0"/>
        <v>0</v>
      </c>
      <c r="G28" s="66">
        <f t="shared" si="1"/>
        <v>0</v>
      </c>
    </row>
    <row r="29" spans="1:7">
      <c r="A29" s="95">
        <v>40871</v>
      </c>
      <c r="F29" s="45">
        <f t="shared" si="0"/>
        <v>0</v>
      </c>
      <c r="G29" s="66">
        <f t="shared" si="1"/>
        <v>0</v>
      </c>
    </row>
    <row r="30" spans="1:7">
      <c r="A30" s="95">
        <v>40872</v>
      </c>
      <c r="F30" s="45">
        <f t="shared" si="0"/>
        <v>0</v>
      </c>
      <c r="G30" s="66">
        <f t="shared" si="1"/>
        <v>0</v>
      </c>
    </row>
    <row r="31" spans="1:7">
      <c r="A31" s="95">
        <v>40873</v>
      </c>
      <c r="F31" s="45">
        <f t="shared" si="0"/>
        <v>0</v>
      </c>
      <c r="G31" s="66">
        <f t="shared" si="1"/>
        <v>0</v>
      </c>
    </row>
    <row r="32" spans="1:7">
      <c r="A32" s="95">
        <v>40874</v>
      </c>
      <c r="F32" s="45">
        <f t="shared" si="0"/>
        <v>0</v>
      </c>
      <c r="G32" s="66">
        <f t="shared" si="1"/>
        <v>0</v>
      </c>
    </row>
    <row r="33" spans="1:7">
      <c r="A33" s="95">
        <v>40875</v>
      </c>
      <c r="D33">
        <v>-2</v>
      </c>
      <c r="F33" s="45">
        <f>-((C$2*C33)+(D$2*D33))</f>
        <v>40</v>
      </c>
      <c r="G33" s="66">
        <f t="shared" si="1"/>
        <v>35</v>
      </c>
    </row>
    <row r="34" spans="1:7">
      <c r="A34" s="95">
        <v>40876</v>
      </c>
      <c r="F34" s="45">
        <f t="shared" si="0"/>
        <v>0</v>
      </c>
      <c r="G34" s="66">
        <f>-((D$2*D$3*D34)+(C$2*C$3*C34))</f>
        <v>0</v>
      </c>
    </row>
    <row r="35" spans="1:7">
      <c r="A35" s="24"/>
    </row>
    <row r="36" spans="1:7">
      <c r="C36">
        <f>SUM(C4:C35)+(2*(SUM(D5:D35)))</f>
        <v>-4</v>
      </c>
      <c r="F36" s="44">
        <f>SUM(F5:F35)</f>
        <v>40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38"/>
  <sheetViews>
    <sheetView zoomScale="12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5" sqref="A35"/>
    </sheetView>
  </sheetViews>
  <sheetFormatPr baseColWidth="10" defaultRowHeight="13"/>
  <cols>
    <col min="1" max="1" width="19.5703125" customWidth="1"/>
    <col min="2" max="2" width="6.42578125" customWidth="1"/>
  </cols>
  <sheetData>
    <row r="1" spans="1:15" ht="101">
      <c r="A1" s="39" t="s">
        <v>68</v>
      </c>
      <c r="B1" s="21" t="s">
        <v>130</v>
      </c>
      <c r="C1" s="41" t="s">
        <v>29</v>
      </c>
      <c r="D1" s="41" t="s">
        <v>21</v>
      </c>
      <c r="E1" s="41" t="s">
        <v>31</v>
      </c>
      <c r="F1" s="41" t="s">
        <v>86</v>
      </c>
      <c r="G1" s="41" t="s">
        <v>32</v>
      </c>
      <c r="H1" s="41" t="s">
        <v>217</v>
      </c>
      <c r="I1" s="41" t="s">
        <v>186</v>
      </c>
      <c r="J1" s="41" t="s">
        <v>187</v>
      </c>
      <c r="K1" s="41" t="s">
        <v>193</v>
      </c>
      <c r="L1" s="41" t="s">
        <v>202</v>
      </c>
    </row>
    <row r="2" spans="1:15" s="34" customFormat="1" ht="29" customHeight="1">
      <c r="A2" s="35"/>
      <c r="C2" s="34">
        <v>22</v>
      </c>
      <c r="D2" s="34">
        <v>6.5</v>
      </c>
      <c r="E2" s="34">
        <v>6.5</v>
      </c>
      <c r="F2" s="34">
        <v>6.5</v>
      </c>
      <c r="G2" s="34">
        <v>6.5</v>
      </c>
      <c r="H2" s="34">
        <v>6.5</v>
      </c>
      <c r="I2" s="34">
        <v>3.5</v>
      </c>
      <c r="J2" s="34">
        <v>3.5</v>
      </c>
      <c r="K2" s="34">
        <v>3.5</v>
      </c>
      <c r="L2" s="34">
        <v>5</v>
      </c>
    </row>
    <row r="3" spans="1:15" s="34" customFormat="1" ht="29" customHeight="1">
      <c r="A3" s="35"/>
      <c r="C3" s="70">
        <f>Sheet1!$C$122</f>
        <v>0.27272727272727271</v>
      </c>
      <c r="D3" s="70">
        <f>Sheet1!$C$123</f>
        <v>0.26153846153846155</v>
      </c>
      <c r="E3" s="70">
        <f>Sheet1!$C$124</f>
        <v>0.26153846153846155</v>
      </c>
      <c r="F3" s="70">
        <f>Sheet1!$C$125</f>
        <v>0.26153846153846155</v>
      </c>
      <c r="G3" s="70">
        <f>Sheet1!$C$126</f>
        <v>0.26153846153846155</v>
      </c>
      <c r="H3" s="70">
        <f>Sheet1!$C$127</f>
        <v>0.26153846153846155</v>
      </c>
      <c r="I3" s="70">
        <f>Sheet1!$C$128</f>
        <v>0.31428571428571433</v>
      </c>
      <c r="J3" s="70">
        <f>Sheet1!$C$129</f>
        <v>0.31428571428571433</v>
      </c>
      <c r="K3" s="70">
        <f>Sheet1!$C$130</f>
        <v>0.31428571428571433</v>
      </c>
    </row>
    <row r="4" spans="1:15">
      <c r="C4">
        <v>0</v>
      </c>
      <c r="D4">
        <v>3</v>
      </c>
      <c r="E4">
        <v>6</v>
      </c>
      <c r="F4">
        <v>1</v>
      </c>
      <c r="G4">
        <v>8</v>
      </c>
      <c r="H4">
        <v>3</v>
      </c>
      <c r="I4">
        <v>3</v>
      </c>
      <c r="J4">
        <v>4</v>
      </c>
      <c r="K4">
        <v>3</v>
      </c>
      <c r="L4">
        <v>3</v>
      </c>
    </row>
    <row r="5" spans="1:15">
      <c r="A5" s="95">
        <v>40847</v>
      </c>
      <c r="N5" s="43">
        <f>-((C$2*C5)+(D$2*D5)+(E$2*E5)+(F$2*F5)+(G$2*G5)+(H$2*H5)+(I$2*I5)+(J$2*J5)+(K$2*K5))</f>
        <v>0</v>
      </c>
      <c r="O5" s="66">
        <f>-((C$2*C$3*C5)+(D$2*D$3*D5)+(E$2*E$3*E5)+(F$2*F$3*F5)+(G$2*G$3*G5)+(H$2*H$3*H5)+(I$2*I$3*I5)+(J$2*J$3*J5)+(K$2*K$3*K5))</f>
        <v>0</v>
      </c>
    </row>
    <row r="6" spans="1:15">
      <c r="A6" s="95">
        <v>40848</v>
      </c>
      <c r="N6" s="66">
        <f t="shared" ref="N6:N34" si="0">-((C$2*C6)+(D$2*D6)+(E$2*E6)+(F$2*F6)+(G$2*G6)+(H$2*H6)+(I$2*I6)+(J$2*J6)+(K$2*K6)+(L$2*L6))</f>
        <v>0</v>
      </c>
      <c r="O6" s="66">
        <f t="shared" ref="O6:O34" si="1">-((C$2*C$3*C6)+(D$2*D$3*D6)+(E$2*E$3*E6)+(F$2*F$3*F6)+(G$2*G$3*G6)+(H$2*H$3*H6)+(I$2*I$3*I6)+(J$2*J$3*J6)+(K$2*K$3*K6))</f>
        <v>0</v>
      </c>
    </row>
    <row r="7" spans="1:15">
      <c r="A7" s="95">
        <v>40849</v>
      </c>
      <c r="N7" s="66">
        <f t="shared" si="0"/>
        <v>0</v>
      </c>
      <c r="O7" s="66">
        <f t="shared" si="1"/>
        <v>0</v>
      </c>
    </row>
    <row r="8" spans="1:15">
      <c r="A8" s="95">
        <v>40850</v>
      </c>
      <c r="N8" s="66">
        <f t="shared" si="0"/>
        <v>0</v>
      </c>
      <c r="O8" s="66">
        <f t="shared" si="1"/>
        <v>0</v>
      </c>
    </row>
    <row r="9" spans="1:15">
      <c r="A9" s="95">
        <v>40851</v>
      </c>
      <c r="N9" s="66">
        <f t="shared" si="0"/>
        <v>0</v>
      </c>
      <c r="O9" s="66">
        <f t="shared" si="1"/>
        <v>0</v>
      </c>
    </row>
    <row r="10" spans="1:15">
      <c r="A10" s="95">
        <v>40852</v>
      </c>
      <c r="N10" s="66">
        <f t="shared" si="0"/>
        <v>0</v>
      </c>
      <c r="O10" s="66">
        <f t="shared" si="1"/>
        <v>0</v>
      </c>
    </row>
    <row r="11" spans="1:15">
      <c r="A11" s="95">
        <v>40853</v>
      </c>
      <c r="N11" s="66">
        <f t="shared" si="0"/>
        <v>0</v>
      </c>
      <c r="O11" s="66">
        <f t="shared" si="1"/>
        <v>0</v>
      </c>
    </row>
    <row r="12" spans="1:15">
      <c r="A12" s="95">
        <v>40854</v>
      </c>
      <c r="N12" s="66">
        <f t="shared" si="0"/>
        <v>0</v>
      </c>
      <c r="O12" s="66">
        <f t="shared" si="1"/>
        <v>0</v>
      </c>
    </row>
    <row r="13" spans="1:15">
      <c r="A13" s="95">
        <v>40855</v>
      </c>
      <c r="N13" s="66">
        <f t="shared" si="0"/>
        <v>0</v>
      </c>
      <c r="O13" s="66">
        <f t="shared" si="1"/>
        <v>0</v>
      </c>
    </row>
    <row r="14" spans="1:15">
      <c r="A14" s="95">
        <v>40856</v>
      </c>
      <c r="N14" s="66">
        <f t="shared" si="0"/>
        <v>0</v>
      </c>
      <c r="O14" s="66">
        <f t="shared" si="1"/>
        <v>0</v>
      </c>
    </row>
    <row r="15" spans="1:15">
      <c r="A15" s="95">
        <v>40857</v>
      </c>
      <c r="N15" s="66">
        <f t="shared" si="0"/>
        <v>0</v>
      </c>
      <c r="O15" s="66">
        <f t="shared" si="1"/>
        <v>0</v>
      </c>
    </row>
    <row r="16" spans="1:15">
      <c r="A16" s="95">
        <v>40858</v>
      </c>
      <c r="N16" s="66">
        <f t="shared" si="0"/>
        <v>0</v>
      </c>
      <c r="O16" s="66">
        <f t="shared" si="1"/>
        <v>0</v>
      </c>
    </row>
    <row r="17" spans="1:15">
      <c r="A17" s="95">
        <v>40859</v>
      </c>
      <c r="N17" s="66">
        <f t="shared" si="0"/>
        <v>0</v>
      </c>
      <c r="O17" s="66">
        <f t="shared" si="1"/>
        <v>0</v>
      </c>
    </row>
    <row r="18" spans="1:15">
      <c r="A18" s="95">
        <v>40860</v>
      </c>
      <c r="N18" s="66">
        <f t="shared" si="0"/>
        <v>0</v>
      </c>
      <c r="O18" s="66">
        <f t="shared" si="1"/>
        <v>0</v>
      </c>
    </row>
    <row r="19" spans="1:15">
      <c r="A19" s="95">
        <v>40861</v>
      </c>
      <c r="N19" s="66">
        <f t="shared" si="0"/>
        <v>0</v>
      </c>
      <c r="O19" s="66">
        <f t="shared" si="1"/>
        <v>0</v>
      </c>
    </row>
    <row r="20" spans="1:15">
      <c r="A20" s="95">
        <v>40862</v>
      </c>
      <c r="N20" s="66">
        <f t="shared" si="0"/>
        <v>0</v>
      </c>
      <c r="O20" s="66">
        <f t="shared" si="1"/>
        <v>0</v>
      </c>
    </row>
    <row r="21" spans="1:15">
      <c r="A21" s="95">
        <v>40863</v>
      </c>
      <c r="N21" s="66">
        <f t="shared" si="0"/>
        <v>0</v>
      </c>
      <c r="O21" s="66">
        <f t="shared" si="1"/>
        <v>0</v>
      </c>
    </row>
    <row r="22" spans="1:15">
      <c r="A22" s="95">
        <v>40864</v>
      </c>
      <c r="N22" s="66">
        <f t="shared" si="0"/>
        <v>0</v>
      </c>
      <c r="O22" s="66">
        <f t="shared" si="1"/>
        <v>0</v>
      </c>
    </row>
    <row r="23" spans="1:15">
      <c r="A23" s="95">
        <v>40865</v>
      </c>
      <c r="N23" s="66">
        <f t="shared" si="0"/>
        <v>0</v>
      </c>
      <c r="O23" s="66">
        <f t="shared" si="1"/>
        <v>0</v>
      </c>
    </row>
    <row r="24" spans="1:15">
      <c r="A24" s="95">
        <v>40866</v>
      </c>
      <c r="N24" s="66">
        <f t="shared" si="0"/>
        <v>0</v>
      </c>
      <c r="O24" s="66">
        <f t="shared" si="1"/>
        <v>0</v>
      </c>
    </row>
    <row r="25" spans="1:15">
      <c r="A25" s="95">
        <v>40867</v>
      </c>
      <c r="N25" s="66">
        <f t="shared" si="0"/>
        <v>0</v>
      </c>
      <c r="O25" s="66">
        <f t="shared" si="1"/>
        <v>0</v>
      </c>
    </row>
    <row r="26" spans="1:15">
      <c r="A26" s="95">
        <v>40868</v>
      </c>
      <c r="N26" s="66">
        <f t="shared" si="0"/>
        <v>0</v>
      </c>
      <c r="O26" s="66">
        <f t="shared" si="1"/>
        <v>0</v>
      </c>
    </row>
    <row r="27" spans="1:15">
      <c r="A27" s="95">
        <v>40869</v>
      </c>
      <c r="N27" s="66">
        <f t="shared" si="0"/>
        <v>0</v>
      </c>
      <c r="O27" s="66">
        <f t="shared" si="1"/>
        <v>0</v>
      </c>
    </row>
    <row r="28" spans="1:15">
      <c r="A28" s="95">
        <v>40870</v>
      </c>
      <c r="N28" s="66">
        <f t="shared" si="0"/>
        <v>0</v>
      </c>
      <c r="O28" s="66">
        <f t="shared" si="1"/>
        <v>0</v>
      </c>
    </row>
    <row r="29" spans="1:15">
      <c r="A29" s="95">
        <v>40871</v>
      </c>
      <c r="N29" s="66">
        <f t="shared" si="0"/>
        <v>0</v>
      </c>
      <c r="O29" s="66">
        <f t="shared" si="1"/>
        <v>0</v>
      </c>
    </row>
    <row r="30" spans="1:15">
      <c r="A30" s="95">
        <v>40872</v>
      </c>
      <c r="N30" s="66">
        <f t="shared" si="0"/>
        <v>0</v>
      </c>
      <c r="O30" s="66">
        <f t="shared" si="1"/>
        <v>0</v>
      </c>
    </row>
    <row r="31" spans="1:15">
      <c r="A31" s="95">
        <v>40873</v>
      </c>
      <c r="N31" s="66">
        <f t="shared" si="0"/>
        <v>0</v>
      </c>
      <c r="O31" s="66">
        <f t="shared" si="1"/>
        <v>0</v>
      </c>
    </row>
    <row r="32" spans="1:15">
      <c r="A32" s="95">
        <v>40874</v>
      </c>
      <c r="N32" s="66">
        <f t="shared" si="0"/>
        <v>0</v>
      </c>
      <c r="O32" s="66">
        <f t="shared" si="1"/>
        <v>0</v>
      </c>
    </row>
    <row r="33" spans="1:15">
      <c r="A33" s="95">
        <v>40875</v>
      </c>
      <c r="N33" s="66">
        <f t="shared" si="0"/>
        <v>0</v>
      </c>
      <c r="O33" s="66">
        <f t="shared" si="1"/>
        <v>0</v>
      </c>
    </row>
    <row r="34" spans="1:15">
      <c r="A34" s="95">
        <v>40876</v>
      </c>
      <c r="N34" s="66">
        <f t="shared" si="0"/>
        <v>0</v>
      </c>
      <c r="O34" s="66">
        <f t="shared" si="1"/>
        <v>0</v>
      </c>
    </row>
    <row r="35" spans="1:15">
      <c r="A35" s="24"/>
    </row>
    <row r="36" spans="1:15">
      <c r="C36">
        <f>SUM(C4:C35)</f>
        <v>0</v>
      </c>
      <c r="D36">
        <f t="shared" ref="D36:K36" si="2">SUM(D4:D35)</f>
        <v>3</v>
      </c>
      <c r="E36">
        <f t="shared" si="2"/>
        <v>6</v>
      </c>
      <c r="F36">
        <f t="shared" si="2"/>
        <v>1</v>
      </c>
      <c r="G36">
        <f t="shared" si="2"/>
        <v>8</v>
      </c>
      <c r="H36">
        <f t="shared" si="2"/>
        <v>3</v>
      </c>
      <c r="I36">
        <f t="shared" si="2"/>
        <v>3</v>
      </c>
      <c r="J36">
        <f t="shared" si="2"/>
        <v>4</v>
      </c>
      <c r="K36">
        <f t="shared" si="2"/>
        <v>3</v>
      </c>
      <c r="L36">
        <f>SUM(L4:L35)</f>
        <v>3</v>
      </c>
    </row>
    <row r="38" spans="1:15">
      <c r="C38">
        <f>C4-C36</f>
        <v>0</v>
      </c>
      <c r="D38">
        <f t="shared" ref="D38:L38" si="3">D4-D36</f>
        <v>0</v>
      </c>
      <c r="E38">
        <f t="shared" si="3"/>
        <v>0</v>
      </c>
      <c r="F38">
        <f t="shared" si="3"/>
        <v>0</v>
      </c>
      <c r="G38">
        <f t="shared" si="3"/>
        <v>0</v>
      </c>
      <c r="H38">
        <f t="shared" si="3"/>
        <v>0</v>
      </c>
      <c r="I38">
        <f t="shared" si="3"/>
        <v>0</v>
      </c>
      <c r="J38">
        <f t="shared" si="3"/>
        <v>0</v>
      </c>
      <c r="K38">
        <f t="shared" si="3"/>
        <v>0</v>
      </c>
      <c r="L38">
        <f t="shared" si="3"/>
        <v>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38"/>
  <sheetViews>
    <sheetView zoomScale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5" sqref="A35"/>
    </sheetView>
  </sheetViews>
  <sheetFormatPr baseColWidth="10" defaultRowHeight="13"/>
  <cols>
    <col min="1" max="1" width="19.5703125" customWidth="1"/>
    <col min="2" max="2" width="6.42578125" customWidth="1"/>
  </cols>
  <sheetData>
    <row r="1" spans="1:6" ht="80">
      <c r="A1" s="39" t="s">
        <v>68</v>
      </c>
      <c r="B1" s="21" t="s">
        <v>85</v>
      </c>
      <c r="C1" s="22" t="s">
        <v>161</v>
      </c>
    </row>
    <row r="2" spans="1:6" s="34" customFormat="1" ht="29" customHeight="1">
      <c r="A2" s="35"/>
      <c r="C2" s="34">
        <v>15</v>
      </c>
    </row>
    <row r="3" spans="1:6" s="34" customFormat="1" ht="29" customHeight="1">
      <c r="A3" s="35"/>
      <c r="C3" s="70">
        <f>Sheet1!$C$134</f>
        <v>0.33333333333333331</v>
      </c>
    </row>
    <row r="4" spans="1:6">
      <c r="C4">
        <v>0</v>
      </c>
    </row>
    <row r="5" spans="1:6">
      <c r="A5" s="95">
        <v>40847</v>
      </c>
      <c r="E5" s="45">
        <f>-((C$2*C5))</f>
        <v>0</v>
      </c>
      <c r="F5" s="66">
        <f>-((C$2*C$3*C5))</f>
        <v>0</v>
      </c>
    </row>
    <row r="6" spans="1:6">
      <c r="A6" s="95">
        <v>40848</v>
      </c>
      <c r="E6" s="45">
        <f t="shared" ref="E6:E34" si="0">-((C$2*C6))</f>
        <v>0</v>
      </c>
      <c r="F6" s="66">
        <f t="shared" ref="F6:F34" si="1">-((C$2*C$3*C6))</f>
        <v>0</v>
      </c>
    </row>
    <row r="7" spans="1:6">
      <c r="A7" s="95">
        <v>40849</v>
      </c>
      <c r="E7" s="45">
        <f t="shared" si="0"/>
        <v>0</v>
      </c>
      <c r="F7" s="66">
        <f t="shared" si="1"/>
        <v>0</v>
      </c>
    </row>
    <row r="8" spans="1:6">
      <c r="A8" s="95">
        <v>40850</v>
      </c>
      <c r="E8" s="45">
        <f t="shared" si="0"/>
        <v>0</v>
      </c>
      <c r="F8" s="66">
        <f t="shared" si="1"/>
        <v>0</v>
      </c>
    </row>
    <row r="9" spans="1:6">
      <c r="A9" s="95">
        <v>40851</v>
      </c>
      <c r="E9" s="45">
        <f t="shared" si="0"/>
        <v>0</v>
      </c>
      <c r="F9" s="66">
        <f t="shared" si="1"/>
        <v>0</v>
      </c>
    </row>
    <row r="10" spans="1:6">
      <c r="A10" s="95">
        <v>40852</v>
      </c>
      <c r="E10" s="45">
        <f t="shared" si="0"/>
        <v>0</v>
      </c>
      <c r="F10" s="66">
        <f t="shared" si="1"/>
        <v>0</v>
      </c>
    </row>
    <row r="11" spans="1:6">
      <c r="A11" s="95">
        <v>40853</v>
      </c>
      <c r="E11" s="45">
        <f t="shared" si="0"/>
        <v>0</v>
      </c>
      <c r="F11" s="66">
        <f t="shared" si="1"/>
        <v>0</v>
      </c>
    </row>
    <row r="12" spans="1:6">
      <c r="A12" s="95">
        <v>40854</v>
      </c>
      <c r="E12" s="45">
        <f t="shared" si="0"/>
        <v>0</v>
      </c>
      <c r="F12" s="66">
        <f t="shared" si="1"/>
        <v>0</v>
      </c>
    </row>
    <row r="13" spans="1:6">
      <c r="A13" s="95">
        <v>40855</v>
      </c>
      <c r="E13" s="45">
        <f t="shared" si="0"/>
        <v>0</v>
      </c>
      <c r="F13" s="66">
        <f t="shared" si="1"/>
        <v>0</v>
      </c>
    </row>
    <row r="14" spans="1:6">
      <c r="A14" s="95">
        <v>40856</v>
      </c>
      <c r="E14" s="45">
        <f t="shared" si="0"/>
        <v>0</v>
      </c>
      <c r="F14" s="66">
        <f t="shared" si="1"/>
        <v>0</v>
      </c>
    </row>
    <row r="15" spans="1:6">
      <c r="A15" s="95">
        <v>40857</v>
      </c>
      <c r="E15" s="45">
        <f t="shared" si="0"/>
        <v>0</v>
      </c>
      <c r="F15" s="66">
        <f t="shared" si="1"/>
        <v>0</v>
      </c>
    </row>
    <row r="16" spans="1:6">
      <c r="A16" s="95">
        <v>40858</v>
      </c>
      <c r="E16" s="45">
        <f t="shared" si="0"/>
        <v>0</v>
      </c>
      <c r="F16" s="66">
        <f t="shared" si="1"/>
        <v>0</v>
      </c>
    </row>
    <row r="17" spans="1:6">
      <c r="A17" s="95">
        <v>40859</v>
      </c>
      <c r="E17" s="45">
        <f t="shared" si="0"/>
        <v>0</v>
      </c>
      <c r="F17" s="66">
        <f t="shared" si="1"/>
        <v>0</v>
      </c>
    </row>
    <row r="18" spans="1:6">
      <c r="A18" s="95">
        <v>40860</v>
      </c>
      <c r="E18" s="45">
        <f t="shared" si="0"/>
        <v>0</v>
      </c>
      <c r="F18" s="66">
        <f t="shared" si="1"/>
        <v>0</v>
      </c>
    </row>
    <row r="19" spans="1:6">
      <c r="A19" s="95">
        <v>40861</v>
      </c>
      <c r="E19" s="45">
        <f t="shared" si="0"/>
        <v>0</v>
      </c>
      <c r="F19" s="66">
        <f t="shared" si="1"/>
        <v>0</v>
      </c>
    </row>
    <row r="20" spans="1:6">
      <c r="A20" s="95">
        <v>40862</v>
      </c>
      <c r="E20" s="45">
        <f t="shared" si="0"/>
        <v>0</v>
      </c>
      <c r="F20" s="66">
        <f t="shared" si="1"/>
        <v>0</v>
      </c>
    </row>
    <row r="21" spans="1:6">
      <c r="A21" s="95">
        <v>40863</v>
      </c>
      <c r="E21" s="45">
        <f t="shared" si="0"/>
        <v>0</v>
      </c>
      <c r="F21" s="66">
        <f t="shared" si="1"/>
        <v>0</v>
      </c>
    </row>
    <row r="22" spans="1:6">
      <c r="A22" s="95">
        <v>40864</v>
      </c>
      <c r="E22" s="45">
        <f t="shared" si="0"/>
        <v>0</v>
      </c>
      <c r="F22" s="66">
        <f t="shared" si="1"/>
        <v>0</v>
      </c>
    </row>
    <row r="23" spans="1:6">
      <c r="A23" s="95">
        <v>40865</v>
      </c>
      <c r="E23" s="45">
        <f t="shared" si="0"/>
        <v>0</v>
      </c>
      <c r="F23" s="66">
        <f t="shared" si="1"/>
        <v>0</v>
      </c>
    </row>
    <row r="24" spans="1:6">
      <c r="A24" s="95">
        <v>40866</v>
      </c>
      <c r="E24" s="45">
        <f t="shared" si="0"/>
        <v>0</v>
      </c>
      <c r="F24" s="66">
        <f t="shared" si="1"/>
        <v>0</v>
      </c>
    </row>
    <row r="25" spans="1:6">
      <c r="A25" s="95">
        <v>40867</v>
      </c>
      <c r="E25" s="45">
        <f t="shared" si="0"/>
        <v>0</v>
      </c>
      <c r="F25" s="66">
        <f t="shared" si="1"/>
        <v>0</v>
      </c>
    </row>
    <row r="26" spans="1:6">
      <c r="A26" s="95">
        <v>40868</v>
      </c>
      <c r="E26" s="45">
        <f t="shared" si="0"/>
        <v>0</v>
      </c>
      <c r="F26" s="66">
        <f t="shared" si="1"/>
        <v>0</v>
      </c>
    </row>
    <row r="27" spans="1:6">
      <c r="A27" s="95">
        <v>40869</v>
      </c>
      <c r="E27" s="45">
        <f t="shared" si="0"/>
        <v>0</v>
      </c>
      <c r="F27" s="66">
        <f t="shared" si="1"/>
        <v>0</v>
      </c>
    </row>
    <row r="28" spans="1:6">
      <c r="A28" s="95">
        <v>40870</v>
      </c>
      <c r="E28" s="45">
        <f t="shared" si="0"/>
        <v>0</v>
      </c>
      <c r="F28" s="66">
        <f t="shared" si="1"/>
        <v>0</v>
      </c>
    </row>
    <row r="29" spans="1:6">
      <c r="A29" s="95">
        <v>40871</v>
      </c>
      <c r="E29" s="45">
        <f t="shared" si="0"/>
        <v>0</v>
      </c>
      <c r="F29" s="66">
        <f t="shared" si="1"/>
        <v>0</v>
      </c>
    </row>
    <row r="30" spans="1:6">
      <c r="A30" s="95">
        <v>40872</v>
      </c>
      <c r="E30" s="45">
        <f t="shared" si="0"/>
        <v>0</v>
      </c>
      <c r="F30" s="66">
        <f t="shared" si="1"/>
        <v>0</v>
      </c>
    </row>
    <row r="31" spans="1:6">
      <c r="A31" s="95">
        <v>40873</v>
      </c>
      <c r="E31" s="45">
        <f t="shared" si="0"/>
        <v>0</v>
      </c>
      <c r="F31" s="66">
        <f t="shared" si="1"/>
        <v>0</v>
      </c>
    </row>
    <row r="32" spans="1:6">
      <c r="A32" s="95">
        <v>40874</v>
      </c>
      <c r="E32" s="45">
        <f t="shared" si="0"/>
        <v>0</v>
      </c>
      <c r="F32" s="66">
        <f t="shared" si="1"/>
        <v>0</v>
      </c>
    </row>
    <row r="33" spans="1:6">
      <c r="A33" s="95">
        <v>40875</v>
      </c>
      <c r="E33" s="45">
        <f t="shared" si="0"/>
        <v>0</v>
      </c>
      <c r="F33" s="66">
        <f t="shared" si="1"/>
        <v>0</v>
      </c>
    </row>
    <row r="34" spans="1:6">
      <c r="A34" s="95">
        <v>40876</v>
      </c>
      <c r="E34" s="45">
        <f t="shared" si="0"/>
        <v>0</v>
      </c>
      <c r="F34" s="66">
        <f t="shared" si="1"/>
        <v>0</v>
      </c>
    </row>
    <row r="35" spans="1:6">
      <c r="A35" s="24"/>
    </row>
    <row r="36" spans="1:6">
      <c r="C36">
        <f>SUM(C4:C35)</f>
        <v>0</v>
      </c>
      <c r="E36" s="45">
        <f>SUM(E5:E35)</f>
        <v>0</v>
      </c>
    </row>
    <row r="38" spans="1:6">
      <c r="C38">
        <f>C4-C36</f>
        <v>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38"/>
  <sheetViews>
    <sheetView zoomScale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5" sqref="A35"/>
    </sheetView>
  </sheetViews>
  <sheetFormatPr baseColWidth="10" defaultRowHeight="13"/>
  <cols>
    <col min="1" max="1" width="19.5703125" customWidth="1"/>
    <col min="2" max="2" width="6.42578125" customWidth="1"/>
  </cols>
  <sheetData>
    <row r="1" spans="1:16" ht="72">
      <c r="A1" s="39" t="s">
        <v>68</v>
      </c>
      <c r="B1" s="21" t="s">
        <v>232</v>
      </c>
      <c r="C1" s="41" t="s">
        <v>208</v>
      </c>
      <c r="D1" s="41" t="s">
        <v>209</v>
      </c>
      <c r="E1" s="41" t="s">
        <v>210</v>
      </c>
      <c r="F1" s="41" t="s">
        <v>211</v>
      </c>
      <c r="G1" s="41" t="s">
        <v>212</v>
      </c>
      <c r="H1" s="41" t="s">
        <v>170</v>
      </c>
      <c r="I1" s="41" t="s">
        <v>238</v>
      </c>
      <c r="J1" s="41" t="s">
        <v>97</v>
      </c>
      <c r="K1" s="41" t="s">
        <v>237</v>
      </c>
      <c r="L1" s="41" t="s">
        <v>239</v>
      </c>
      <c r="M1" s="41" t="s">
        <v>240</v>
      </c>
      <c r="N1" s="41" t="s">
        <v>241</v>
      </c>
    </row>
    <row r="2" spans="1:16" s="34" customFormat="1" ht="29" customHeight="1">
      <c r="A2" s="35"/>
      <c r="C2" s="34">
        <v>9.35</v>
      </c>
      <c r="D2" s="34">
        <v>9.15</v>
      </c>
      <c r="E2" s="34">
        <v>9.15</v>
      </c>
      <c r="F2" s="34">
        <v>7.9</v>
      </c>
      <c r="G2" s="34">
        <v>9.35</v>
      </c>
      <c r="H2" s="34">
        <v>4.0999999999999996</v>
      </c>
      <c r="I2" s="34">
        <v>4.0999999999999996</v>
      </c>
      <c r="J2" s="34">
        <v>4.0999999999999996</v>
      </c>
      <c r="K2" s="34">
        <v>5.45</v>
      </c>
      <c r="L2" s="34">
        <v>6.05</v>
      </c>
      <c r="M2" s="34">
        <v>5.45</v>
      </c>
      <c r="N2" s="34">
        <v>6.05</v>
      </c>
    </row>
    <row r="3" spans="1:16" s="70" customFormat="1" ht="29" customHeight="1">
      <c r="A3" s="71"/>
    </row>
    <row r="4" spans="1:16">
      <c r="C4">
        <v>1</v>
      </c>
      <c r="D4">
        <v>1</v>
      </c>
      <c r="E4">
        <v>1</v>
      </c>
      <c r="H4">
        <v>2</v>
      </c>
      <c r="I4">
        <v>4</v>
      </c>
      <c r="J4">
        <v>3</v>
      </c>
      <c r="K4">
        <v>3</v>
      </c>
      <c r="L4">
        <v>1</v>
      </c>
      <c r="M4">
        <v>2</v>
      </c>
      <c r="N4">
        <v>3</v>
      </c>
      <c r="P4" s="66">
        <f>((C$2*C4)+(D$2*D4)+(E$2*E4)+(F$2*F4)+(G$2*G4)+(H$2*H4)+(I$2*I4)+(J$2*J4)+(K$2*K4)+(L$2*L4)+(M$2*M4)+(N$2*N4))</f>
        <v>116</v>
      </c>
    </row>
    <row r="5" spans="1:16">
      <c r="A5" s="95">
        <v>40847</v>
      </c>
      <c r="P5" s="45">
        <f>-((C$2*C5)+(D$2*D5)+(E$2*E5)+(F$2*F5)+(G$2*G5)+(H$2*H5)+(I$2*I5)+(J$2*J5)+(K$2*K5)+(L$2*L5)+(M$2*M5)+(N$2*N5))</f>
        <v>0</v>
      </c>
    </row>
    <row r="6" spans="1:16">
      <c r="A6" s="95">
        <v>40848</v>
      </c>
      <c r="P6" s="45">
        <f t="shared" ref="P6:P34" si="0">-((C$2*C6)+(D$2*D6)+(E$2*E6)+(F$2*F6)+(G$2*G6)+(H$2*H6)+(I$2*I6)+(J$2*J6)+(K$2*K6)+(L$2*L6)+(M$2*M6)+(N$2*N6))</f>
        <v>0</v>
      </c>
    </row>
    <row r="7" spans="1:16">
      <c r="A7" s="95">
        <v>40849</v>
      </c>
      <c r="P7" s="45">
        <f t="shared" si="0"/>
        <v>0</v>
      </c>
    </row>
    <row r="8" spans="1:16">
      <c r="A8" s="95">
        <v>40850</v>
      </c>
      <c r="P8" s="45">
        <f t="shared" si="0"/>
        <v>0</v>
      </c>
    </row>
    <row r="9" spans="1:16">
      <c r="A9" s="95">
        <v>40851</v>
      </c>
      <c r="P9" s="45">
        <f t="shared" si="0"/>
        <v>0</v>
      </c>
    </row>
    <row r="10" spans="1:16">
      <c r="A10" s="95">
        <v>40852</v>
      </c>
      <c r="P10" s="45">
        <f t="shared" si="0"/>
        <v>0</v>
      </c>
    </row>
    <row r="11" spans="1:16">
      <c r="A11" s="95">
        <v>40853</v>
      </c>
      <c r="P11" s="45">
        <f t="shared" si="0"/>
        <v>0</v>
      </c>
    </row>
    <row r="12" spans="1:16">
      <c r="A12" s="95">
        <v>40854</v>
      </c>
      <c r="P12" s="45">
        <f t="shared" si="0"/>
        <v>0</v>
      </c>
    </row>
    <row r="13" spans="1:16">
      <c r="A13" s="95">
        <v>40855</v>
      </c>
      <c r="P13" s="45">
        <f t="shared" si="0"/>
        <v>0</v>
      </c>
    </row>
    <row r="14" spans="1:16">
      <c r="A14" s="95">
        <v>40856</v>
      </c>
      <c r="P14" s="45">
        <f t="shared" si="0"/>
        <v>0</v>
      </c>
    </row>
    <row r="15" spans="1:16">
      <c r="A15" s="95">
        <v>40857</v>
      </c>
      <c r="P15" s="45">
        <f t="shared" si="0"/>
        <v>0</v>
      </c>
    </row>
    <row r="16" spans="1:16">
      <c r="A16" s="95">
        <v>40858</v>
      </c>
      <c r="P16" s="45">
        <f t="shared" si="0"/>
        <v>0</v>
      </c>
    </row>
    <row r="17" spans="1:16">
      <c r="A17" s="95">
        <v>40859</v>
      </c>
      <c r="P17" s="45">
        <f t="shared" si="0"/>
        <v>0</v>
      </c>
    </row>
    <row r="18" spans="1:16">
      <c r="A18" s="95">
        <v>40860</v>
      </c>
      <c r="P18" s="45">
        <f t="shared" si="0"/>
        <v>0</v>
      </c>
    </row>
    <row r="19" spans="1:16">
      <c r="A19" s="95">
        <v>40861</v>
      </c>
      <c r="P19" s="45">
        <f t="shared" si="0"/>
        <v>0</v>
      </c>
    </row>
    <row r="20" spans="1:16">
      <c r="A20" s="95">
        <v>40862</v>
      </c>
      <c r="P20" s="45">
        <f t="shared" si="0"/>
        <v>0</v>
      </c>
    </row>
    <row r="21" spans="1:16">
      <c r="A21" s="95">
        <v>40863</v>
      </c>
      <c r="P21" s="45">
        <f t="shared" si="0"/>
        <v>0</v>
      </c>
    </row>
    <row r="22" spans="1:16">
      <c r="A22" s="95">
        <v>40864</v>
      </c>
      <c r="P22" s="45">
        <f t="shared" si="0"/>
        <v>0</v>
      </c>
    </row>
    <row r="23" spans="1:16">
      <c r="A23" s="95">
        <v>40865</v>
      </c>
      <c r="P23" s="45">
        <f t="shared" si="0"/>
        <v>0</v>
      </c>
    </row>
    <row r="24" spans="1:16">
      <c r="A24" s="95">
        <v>40866</v>
      </c>
      <c r="P24" s="45">
        <f t="shared" si="0"/>
        <v>0</v>
      </c>
    </row>
    <row r="25" spans="1:16">
      <c r="A25" s="95">
        <v>40867</v>
      </c>
      <c r="P25" s="45">
        <f t="shared" si="0"/>
        <v>0</v>
      </c>
    </row>
    <row r="26" spans="1:16">
      <c r="A26" s="95">
        <v>40868</v>
      </c>
      <c r="P26" s="45">
        <f t="shared" si="0"/>
        <v>0</v>
      </c>
    </row>
    <row r="27" spans="1:16">
      <c r="A27" s="95">
        <v>40869</v>
      </c>
      <c r="P27" s="45">
        <f t="shared" si="0"/>
        <v>0</v>
      </c>
    </row>
    <row r="28" spans="1:16">
      <c r="A28" s="95">
        <v>40870</v>
      </c>
      <c r="P28" s="45">
        <f t="shared" si="0"/>
        <v>0</v>
      </c>
    </row>
    <row r="29" spans="1:16">
      <c r="A29" s="95">
        <v>40871</v>
      </c>
      <c r="P29" s="45">
        <f t="shared" si="0"/>
        <v>0</v>
      </c>
    </row>
    <row r="30" spans="1:16">
      <c r="A30" s="95">
        <v>40872</v>
      </c>
      <c r="P30" s="45">
        <f t="shared" si="0"/>
        <v>0</v>
      </c>
    </row>
    <row r="31" spans="1:16">
      <c r="A31" s="95">
        <v>40873</v>
      </c>
      <c r="P31" s="45">
        <f t="shared" si="0"/>
        <v>0</v>
      </c>
    </row>
    <row r="32" spans="1:16">
      <c r="A32" s="95">
        <v>40874</v>
      </c>
      <c r="P32" s="45">
        <f t="shared" si="0"/>
        <v>0</v>
      </c>
    </row>
    <row r="33" spans="1:16">
      <c r="A33" s="95">
        <v>40875</v>
      </c>
      <c r="P33" s="45">
        <f t="shared" si="0"/>
        <v>0</v>
      </c>
    </row>
    <row r="34" spans="1:16">
      <c r="A34" s="95">
        <v>40876</v>
      </c>
      <c r="P34" s="45">
        <f t="shared" si="0"/>
        <v>0</v>
      </c>
    </row>
    <row r="35" spans="1:16">
      <c r="A35" s="24"/>
    </row>
    <row r="36" spans="1:16">
      <c r="C36">
        <f>SUM(C4:C35)</f>
        <v>1</v>
      </c>
      <c r="D36">
        <f t="shared" ref="D36:N36" si="1">SUM(D4:D35)</f>
        <v>1</v>
      </c>
      <c r="E36">
        <f t="shared" si="1"/>
        <v>1</v>
      </c>
      <c r="F36">
        <f t="shared" si="1"/>
        <v>0</v>
      </c>
      <c r="G36">
        <f t="shared" si="1"/>
        <v>0</v>
      </c>
      <c r="H36">
        <f t="shared" si="1"/>
        <v>2</v>
      </c>
      <c r="I36">
        <f t="shared" si="1"/>
        <v>4</v>
      </c>
      <c r="J36">
        <f t="shared" si="1"/>
        <v>3</v>
      </c>
      <c r="K36">
        <f t="shared" si="1"/>
        <v>3</v>
      </c>
      <c r="L36">
        <f t="shared" si="1"/>
        <v>1</v>
      </c>
      <c r="M36">
        <f t="shared" si="1"/>
        <v>2</v>
      </c>
      <c r="N36">
        <f t="shared" si="1"/>
        <v>3</v>
      </c>
      <c r="P36" s="45">
        <f>SUM(P5:P35)</f>
        <v>0</v>
      </c>
    </row>
    <row r="38" spans="1:16">
      <c r="C38">
        <f>C4-C36</f>
        <v>0</v>
      </c>
      <c r="D38">
        <f t="shared" ref="D38:N38" si="2">D4-D36</f>
        <v>0</v>
      </c>
      <c r="E38">
        <f t="shared" si="2"/>
        <v>0</v>
      </c>
      <c r="F38">
        <f t="shared" si="2"/>
        <v>0</v>
      </c>
      <c r="G38">
        <f t="shared" si="2"/>
        <v>0</v>
      </c>
      <c r="H38">
        <f t="shared" si="2"/>
        <v>0</v>
      </c>
      <c r="I38">
        <f t="shared" si="2"/>
        <v>0</v>
      </c>
      <c r="J38">
        <f t="shared" si="2"/>
        <v>0</v>
      </c>
      <c r="K38">
        <f t="shared" si="2"/>
        <v>0</v>
      </c>
      <c r="L38">
        <f t="shared" si="2"/>
        <v>0</v>
      </c>
      <c r="M38">
        <f t="shared" si="2"/>
        <v>0</v>
      </c>
      <c r="N38">
        <f t="shared" si="2"/>
        <v>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84"/>
  <sheetViews>
    <sheetView workbookViewId="0">
      <selection activeCell="B20" sqref="B20:F20"/>
    </sheetView>
  </sheetViews>
  <sheetFormatPr baseColWidth="10" defaultRowHeight="13"/>
  <cols>
    <col min="1" max="1" width="23.140625" customWidth="1"/>
    <col min="2" max="2" width="12.5703125" customWidth="1"/>
    <col min="3" max="3" width="12.28515625" customWidth="1"/>
    <col min="6" max="6" width="13.85546875" bestFit="1" customWidth="1"/>
    <col min="7" max="7" width="13.85546875" customWidth="1"/>
  </cols>
  <sheetData>
    <row r="1" spans="1:8" ht="27" customHeight="1">
      <c r="A1" s="38" t="s">
        <v>94</v>
      </c>
    </row>
    <row r="2" spans="1:8">
      <c r="D2" s="102" t="s">
        <v>242</v>
      </c>
      <c r="E2" s="102"/>
    </row>
    <row r="3" spans="1:8" ht="39">
      <c r="B3" s="16" t="s">
        <v>236</v>
      </c>
      <c r="C3" s="17" t="s">
        <v>14</v>
      </c>
      <c r="D3" s="62" t="s">
        <v>243</v>
      </c>
      <c r="E3" s="62" t="s">
        <v>244</v>
      </c>
      <c r="F3" s="62" t="s">
        <v>119</v>
      </c>
      <c r="G3" s="62" t="s">
        <v>121</v>
      </c>
      <c r="H3" s="62" t="s">
        <v>120</v>
      </c>
    </row>
    <row r="4" spans="1:8">
      <c r="A4" t="str">
        <f>Sheet1!A3</f>
        <v>Cachet</v>
      </c>
    </row>
    <row r="5" spans="1:8">
      <c r="A5" s="12" t="s">
        <v>198</v>
      </c>
      <c r="B5" s="15">
        <f>Sheet1!D4</f>
        <v>2.2999999999999998</v>
      </c>
      <c r="C5" s="18">
        <v>0.25</v>
      </c>
      <c r="D5">
        <v>12</v>
      </c>
      <c r="E5" s="57">
        <f>B5*(1-C5)*D5</f>
        <v>20.7</v>
      </c>
      <c r="F5" s="63">
        <f>B5*D5</f>
        <v>27.599999999999998</v>
      </c>
      <c r="G5" s="63"/>
    </row>
    <row r="6" spans="1:8">
      <c r="A6" s="12" t="s">
        <v>199</v>
      </c>
      <c r="B6" s="15">
        <f>Sheet1!D5</f>
        <v>2.2999999999999998</v>
      </c>
      <c r="C6" s="61">
        <v>0.25</v>
      </c>
      <c r="D6">
        <v>12</v>
      </c>
      <c r="E6" s="57">
        <f t="shared" ref="E6:E23" si="0">B6*(1-C6)*D6</f>
        <v>20.7</v>
      </c>
      <c r="F6" s="63">
        <f t="shared" ref="F6:F63" si="1">B6*D6</f>
        <v>27.599999999999998</v>
      </c>
      <c r="G6" s="63"/>
    </row>
    <row r="7" spans="1:8">
      <c r="A7" s="12" t="s">
        <v>200</v>
      </c>
      <c r="B7" s="15">
        <f>Sheet1!D6</f>
        <v>2.2999999999999998</v>
      </c>
      <c r="C7" s="61">
        <v>0.25</v>
      </c>
      <c r="D7">
        <v>12</v>
      </c>
      <c r="E7" s="57">
        <f t="shared" si="0"/>
        <v>20.7</v>
      </c>
      <c r="F7" s="63">
        <f t="shared" si="1"/>
        <v>27.599999999999998</v>
      </c>
      <c r="G7" s="63"/>
    </row>
    <row r="8" spans="1:8">
      <c r="A8" s="12" t="s">
        <v>196</v>
      </c>
      <c r="B8" s="15">
        <f>Sheet1!D7</f>
        <v>2.2999999999999998</v>
      </c>
      <c r="C8" s="61">
        <v>0.25</v>
      </c>
      <c r="D8">
        <v>12</v>
      </c>
      <c r="E8" s="57">
        <f t="shared" si="0"/>
        <v>20.7</v>
      </c>
      <c r="F8" s="63">
        <f t="shared" si="1"/>
        <v>27.599999999999998</v>
      </c>
      <c r="G8" s="63"/>
    </row>
    <row r="9" spans="1:8">
      <c r="A9" s="12"/>
      <c r="B9" s="15"/>
      <c r="C9" s="18"/>
      <c r="E9" s="57"/>
      <c r="F9" s="63"/>
      <c r="G9" s="63"/>
    </row>
    <row r="10" spans="1:8">
      <c r="A10" s="12" t="s">
        <v>197</v>
      </c>
      <c r="B10" s="15">
        <f>Sheet1!D9</f>
        <v>2.2999999999999998</v>
      </c>
      <c r="C10" s="61">
        <v>0.25</v>
      </c>
      <c r="D10">
        <v>12</v>
      </c>
      <c r="E10" s="57">
        <f t="shared" si="0"/>
        <v>20.7</v>
      </c>
      <c r="F10" s="63">
        <f t="shared" si="1"/>
        <v>27.599999999999998</v>
      </c>
      <c r="G10" s="63"/>
    </row>
    <row r="11" spans="1:8">
      <c r="A11" s="12" t="s">
        <v>179</v>
      </c>
      <c r="B11" s="15">
        <f>Sheet1!D10</f>
        <v>2.2999999999999998</v>
      </c>
      <c r="C11" s="61">
        <v>0.25</v>
      </c>
      <c r="D11">
        <v>12</v>
      </c>
      <c r="E11" s="57">
        <f t="shared" si="0"/>
        <v>20.7</v>
      </c>
      <c r="F11" s="63">
        <f t="shared" si="1"/>
        <v>27.599999999999998</v>
      </c>
      <c r="G11" s="63"/>
    </row>
    <row r="12" spans="1:8">
      <c r="A12" s="12" t="s">
        <v>220</v>
      </c>
      <c r="B12" s="15">
        <f>Sheet1!D11</f>
        <v>2.2999999999999998</v>
      </c>
      <c r="C12" s="61">
        <v>0.25</v>
      </c>
      <c r="D12">
        <v>12</v>
      </c>
      <c r="E12" s="57">
        <f t="shared" si="0"/>
        <v>20.7</v>
      </c>
      <c r="F12" s="63">
        <f t="shared" si="1"/>
        <v>27.599999999999998</v>
      </c>
      <c r="G12" s="63"/>
    </row>
    <row r="13" spans="1:8">
      <c r="A13" s="12" t="s">
        <v>221</v>
      </c>
      <c r="B13" s="15">
        <f>Sheet1!D12</f>
        <v>2.2999999999999998</v>
      </c>
      <c r="C13" s="61">
        <v>0.25</v>
      </c>
      <c r="D13">
        <v>12</v>
      </c>
      <c r="E13" s="57">
        <f t="shared" si="0"/>
        <v>20.7</v>
      </c>
      <c r="F13" s="63">
        <f t="shared" si="1"/>
        <v>27.599999999999998</v>
      </c>
      <c r="G13" s="63"/>
    </row>
    <row r="14" spans="1:8">
      <c r="A14" s="12" t="s">
        <v>73</v>
      </c>
      <c r="B14" s="15">
        <f>Sheet1!D13</f>
        <v>2.2999999999999998</v>
      </c>
      <c r="C14" s="61">
        <v>0.25</v>
      </c>
      <c r="D14">
        <v>12</v>
      </c>
      <c r="E14" s="57">
        <f t="shared" si="0"/>
        <v>20.7</v>
      </c>
      <c r="F14" s="63">
        <f t="shared" si="1"/>
        <v>27.599999999999998</v>
      </c>
      <c r="G14" s="63"/>
    </row>
    <row r="15" spans="1:8">
      <c r="A15" s="12" t="s">
        <v>61</v>
      </c>
      <c r="B15" s="15">
        <f>Sheet1!D14</f>
        <v>2.2999999999999998</v>
      </c>
      <c r="C15" s="61">
        <v>0.25</v>
      </c>
      <c r="D15">
        <v>12</v>
      </c>
      <c r="E15" s="57">
        <f t="shared" si="0"/>
        <v>20.7</v>
      </c>
      <c r="F15" s="63">
        <f t="shared" si="1"/>
        <v>27.599999999999998</v>
      </c>
      <c r="G15" s="63"/>
    </row>
    <row r="16" spans="1:8">
      <c r="A16" s="12"/>
      <c r="B16" s="15"/>
      <c r="C16" s="18"/>
      <c r="E16" s="57"/>
      <c r="F16" s="63"/>
      <c r="G16" s="63"/>
    </row>
    <row r="17" spans="1:8">
      <c r="A17" s="12" t="s">
        <v>62</v>
      </c>
      <c r="B17" s="15">
        <f>Sheet1!D16</f>
        <v>2.5</v>
      </c>
      <c r="C17" s="61">
        <v>0.25</v>
      </c>
      <c r="D17">
        <v>12</v>
      </c>
      <c r="E17" s="57">
        <f t="shared" si="0"/>
        <v>22.5</v>
      </c>
      <c r="F17" s="63">
        <f t="shared" si="1"/>
        <v>30</v>
      </c>
      <c r="G17" s="63"/>
    </row>
    <row r="18" spans="1:8">
      <c r="A18" s="12" t="s">
        <v>63</v>
      </c>
      <c r="B18" s="15">
        <f>Sheet1!D17</f>
        <v>2.5</v>
      </c>
      <c r="C18" s="61">
        <v>0.25</v>
      </c>
      <c r="D18">
        <v>12</v>
      </c>
      <c r="E18" s="57">
        <f t="shared" si="0"/>
        <v>22.5</v>
      </c>
      <c r="F18" s="63">
        <f t="shared" si="1"/>
        <v>30</v>
      </c>
      <c r="G18" s="63"/>
    </row>
    <row r="19" spans="1:8">
      <c r="A19" s="12" t="s">
        <v>64</v>
      </c>
      <c r="B19" s="15">
        <f>Sheet1!D18</f>
        <v>2.5</v>
      </c>
      <c r="C19" s="61">
        <v>0.25</v>
      </c>
      <c r="D19">
        <v>12</v>
      </c>
      <c r="E19" s="57">
        <f t="shared" si="0"/>
        <v>22.5</v>
      </c>
      <c r="F19" s="63">
        <f t="shared" si="1"/>
        <v>30</v>
      </c>
      <c r="G19" s="63"/>
    </row>
    <row r="20" spans="1:8">
      <c r="A20" s="12"/>
      <c r="B20" s="15"/>
      <c r="C20" s="61"/>
      <c r="E20" s="57"/>
      <c r="F20" s="63"/>
      <c r="G20" s="63"/>
    </row>
    <row r="21" spans="1:8">
      <c r="A21" s="12" t="s">
        <v>65</v>
      </c>
      <c r="B21" s="15">
        <f>Sheet1!D19</f>
        <v>2.5</v>
      </c>
      <c r="C21" s="61">
        <v>0.25</v>
      </c>
      <c r="D21">
        <v>12</v>
      </c>
      <c r="E21" s="57">
        <f t="shared" si="0"/>
        <v>22.5</v>
      </c>
      <c r="F21" s="63">
        <f t="shared" si="1"/>
        <v>30</v>
      </c>
      <c r="G21" s="63"/>
    </row>
    <row r="22" spans="1:8">
      <c r="A22" s="12" t="s">
        <v>234</v>
      </c>
      <c r="B22" s="15">
        <f>Sheet1!D20</f>
        <v>3</v>
      </c>
      <c r="C22" s="61">
        <v>0.25</v>
      </c>
      <c r="D22">
        <v>12</v>
      </c>
      <c r="E22" s="57">
        <f t="shared" si="0"/>
        <v>27</v>
      </c>
      <c r="F22" s="63">
        <f t="shared" si="1"/>
        <v>36</v>
      </c>
      <c r="G22" s="63"/>
    </row>
    <row r="23" spans="1:8">
      <c r="A23" s="12" t="s">
        <v>235</v>
      </c>
      <c r="B23" s="15">
        <f>Sheet1!D21</f>
        <v>3</v>
      </c>
      <c r="C23" s="61">
        <v>0.25</v>
      </c>
      <c r="D23">
        <v>12</v>
      </c>
      <c r="E23" s="57">
        <f t="shared" si="0"/>
        <v>27</v>
      </c>
      <c r="F23" s="63">
        <f t="shared" si="1"/>
        <v>36</v>
      </c>
      <c r="G23" s="63">
        <f>SUM(E5:E23)/1.06</f>
        <v>331.1320754716981</v>
      </c>
      <c r="H23" s="65">
        <f>SUM(F5:F23)/1.06</f>
        <v>441.50943396226415</v>
      </c>
    </row>
    <row r="24" spans="1:8">
      <c r="F24" s="63"/>
      <c r="G24" s="63"/>
    </row>
    <row r="25" spans="1:8">
      <c r="A25" t="s">
        <v>103</v>
      </c>
      <c r="F25" s="63"/>
      <c r="G25" s="63"/>
    </row>
    <row r="26" spans="1:8">
      <c r="A26" t="s">
        <v>104</v>
      </c>
      <c r="F26" s="63"/>
      <c r="G26" s="63"/>
    </row>
    <row r="27" spans="1:8">
      <c r="A27" t="s">
        <v>105</v>
      </c>
      <c r="B27" s="19">
        <f>Sheet1!D46</f>
        <v>6</v>
      </c>
      <c r="C27" s="18">
        <v>0.2</v>
      </c>
      <c r="D27">
        <v>6</v>
      </c>
      <c r="E27" s="57">
        <f t="shared" ref="E27:E28" si="2">B27*(1-C27)*D27</f>
        <v>28.800000000000004</v>
      </c>
      <c r="F27" s="63">
        <f t="shared" si="1"/>
        <v>36</v>
      </c>
      <c r="G27" s="63"/>
    </row>
    <row r="28" spans="1:8">
      <c r="A28" t="s">
        <v>106</v>
      </c>
      <c r="B28" s="19">
        <f>Sheet1!D47</f>
        <v>10</v>
      </c>
      <c r="C28" s="18">
        <v>0.2</v>
      </c>
      <c r="D28">
        <v>6</v>
      </c>
      <c r="E28" s="57">
        <f t="shared" si="2"/>
        <v>48</v>
      </c>
      <c r="F28" s="63">
        <f t="shared" si="1"/>
        <v>60</v>
      </c>
      <c r="G28" s="63"/>
    </row>
    <row r="29" spans="1:8">
      <c r="B29" s="19"/>
      <c r="F29" s="63"/>
      <c r="G29" s="63"/>
    </row>
    <row r="30" spans="1:8">
      <c r="A30" t="s">
        <v>23</v>
      </c>
      <c r="B30" s="19"/>
      <c r="F30" s="63"/>
      <c r="G30" s="63"/>
    </row>
    <row r="31" spans="1:8">
      <c r="A31" t="s">
        <v>24</v>
      </c>
      <c r="B31" s="19">
        <f>Sheet1!D62</f>
        <v>10</v>
      </c>
      <c r="C31" s="18">
        <v>0.15</v>
      </c>
      <c r="D31">
        <v>6</v>
      </c>
      <c r="E31" s="57">
        <f t="shared" ref="E31:E32" si="3">B31*(1-C31)*D31</f>
        <v>51</v>
      </c>
      <c r="F31" s="63">
        <f t="shared" si="1"/>
        <v>60</v>
      </c>
      <c r="G31" s="63"/>
    </row>
    <row r="32" spans="1:8">
      <c r="A32" t="s">
        <v>25</v>
      </c>
      <c r="B32" s="19">
        <f>Sheet1!D63</f>
        <v>14</v>
      </c>
      <c r="C32" s="18">
        <v>0.2</v>
      </c>
      <c r="D32">
        <v>6</v>
      </c>
      <c r="E32" s="57">
        <f t="shared" si="3"/>
        <v>67.2</v>
      </c>
      <c r="F32" s="63">
        <f t="shared" si="1"/>
        <v>84</v>
      </c>
      <c r="G32" s="63"/>
    </row>
    <row r="33" spans="1:7">
      <c r="B33" s="19"/>
      <c r="F33" s="63"/>
      <c r="G33" s="63"/>
    </row>
    <row r="34" spans="1:7">
      <c r="B34" s="19"/>
      <c r="F34" s="63"/>
      <c r="G34" s="63"/>
    </row>
    <row r="35" spans="1:7">
      <c r="A35" t="s">
        <v>164</v>
      </c>
      <c r="B35" s="19">
        <f>Sheet1!D79</f>
        <v>3.8</v>
      </c>
      <c r="C35" s="18">
        <v>0.25</v>
      </c>
      <c r="D35">
        <v>6</v>
      </c>
      <c r="E35" s="57">
        <f t="shared" ref="E35:E36" si="4">B35*(1-C35)*D35</f>
        <v>17.099999999999998</v>
      </c>
      <c r="F35" s="63">
        <f t="shared" si="1"/>
        <v>22.799999999999997</v>
      </c>
      <c r="G35" s="63"/>
    </row>
    <row r="36" spans="1:7">
      <c r="A36" t="s">
        <v>165</v>
      </c>
      <c r="B36" s="19">
        <f>Sheet1!D80</f>
        <v>2.5</v>
      </c>
      <c r="C36" s="18">
        <v>0.25</v>
      </c>
      <c r="D36">
        <v>6</v>
      </c>
      <c r="E36" s="57">
        <f t="shared" si="4"/>
        <v>11.25</v>
      </c>
      <c r="F36" s="63">
        <f t="shared" si="1"/>
        <v>15</v>
      </c>
      <c r="G36" s="63"/>
    </row>
    <row r="37" spans="1:7">
      <c r="A37" t="s">
        <v>203</v>
      </c>
      <c r="B37" s="19">
        <f>Sheet1!D81</f>
        <v>4</v>
      </c>
      <c r="C37" s="18">
        <v>0.25</v>
      </c>
      <c r="D37">
        <v>6</v>
      </c>
      <c r="E37" s="57">
        <f t="shared" ref="E37:E50" si="5">B37*(1-C37)*D37</f>
        <v>18</v>
      </c>
      <c r="F37" s="63">
        <f t="shared" si="1"/>
        <v>24</v>
      </c>
      <c r="G37" s="63"/>
    </row>
    <row r="38" spans="1:7">
      <c r="A38" t="s">
        <v>72</v>
      </c>
      <c r="B38" s="19">
        <f>Sheet1!D82</f>
        <v>3.8</v>
      </c>
      <c r="C38" s="18">
        <v>0.25</v>
      </c>
      <c r="D38">
        <v>6</v>
      </c>
      <c r="E38" s="57">
        <f t="shared" si="5"/>
        <v>17.099999999999998</v>
      </c>
      <c r="F38" s="63">
        <f t="shared" si="1"/>
        <v>22.799999999999997</v>
      </c>
      <c r="G38" s="63"/>
    </row>
    <row r="39" spans="1:7">
      <c r="A39" t="s">
        <v>82</v>
      </c>
      <c r="B39" s="19">
        <f>Sheet1!D83</f>
        <v>3.4</v>
      </c>
      <c r="C39" s="18">
        <v>0.25</v>
      </c>
      <c r="D39">
        <v>6</v>
      </c>
      <c r="E39" s="57">
        <f t="shared" si="5"/>
        <v>15.299999999999999</v>
      </c>
      <c r="F39" s="63">
        <f t="shared" si="1"/>
        <v>20.399999999999999</v>
      </c>
      <c r="G39" s="63"/>
    </row>
    <row r="40" spans="1:7">
      <c r="A40" t="s">
        <v>83</v>
      </c>
      <c r="B40" s="19">
        <f>Sheet1!D84</f>
        <v>4.2</v>
      </c>
      <c r="C40" s="18">
        <v>0.25</v>
      </c>
      <c r="D40">
        <v>6</v>
      </c>
      <c r="E40" s="57">
        <f t="shared" si="5"/>
        <v>18.900000000000002</v>
      </c>
      <c r="F40" s="63">
        <f t="shared" si="1"/>
        <v>25.200000000000003</v>
      </c>
      <c r="G40" s="63"/>
    </row>
    <row r="41" spans="1:7">
      <c r="A41" t="s">
        <v>151</v>
      </c>
      <c r="B41" s="19">
        <f>Sheet1!D85</f>
        <v>3.8</v>
      </c>
      <c r="C41" s="18">
        <v>0.25</v>
      </c>
      <c r="D41">
        <v>6</v>
      </c>
      <c r="E41" s="57">
        <f t="shared" si="5"/>
        <v>17.099999999999998</v>
      </c>
      <c r="F41" s="63">
        <f t="shared" si="1"/>
        <v>22.799999999999997</v>
      </c>
      <c r="G41" s="63"/>
    </row>
    <row r="42" spans="1:7">
      <c r="A42" t="s">
        <v>152</v>
      </c>
      <c r="B42" s="19">
        <f>Sheet1!D86</f>
        <v>4.4000000000000004</v>
      </c>
      <c r="C42" s="18">
        <v>0.25</v>
      </c>
      <c r="D42">
        <v>6</v>
      </c>
      <c r="E42" s="57">
        <f t="shared" si="5"/>
        <v>19.8</v>
      </c>
      <c r="F42" s="63">
        <f t="shared" si="1"/>
        <v>26.400000000000002</v>
      </c>
      <c r="G42" s="63"/>
    </row>
    <row r="43" spans="1:7">
      <c r="A43" t="s">
        <v>30</v>
      </c>
      <c r="B43" s="19">
        <f>Sheet1!D87</f>
        <v>6</v>
      </c>
      <c r="C43" s="18">
        <v>0.25</v>
      </c>
      <c r="D43">
        <v>6</v>
      </c>
      <c r="E43" s="57">
        <f t="shared" si="5"/>
        <v>27</v>
      </c>
      <c r="F43" s="63">
        <f t="shared" si="1"/>
        <v>36</v>
      </c>
      <c r="G43" s="63"/>
    </row>
    <row r="44" spans="1:7">
      <c r="A44" t="s">
        <v>150</v>
      </c>
      <c r="B44" s="19">
        <f>Sheet1!D88</f>
        <v>4.8</v>
      </c>
      <c r="C44" s="18">
        <v>0.25</v>
      </c>
      <c r="D44">
        <v>6</v>
      </c>
      <c r="E44" s="57">
        <f t="shared" si="5"/>
        <v>21.599999999999998</v>
      </c>
      <c r="F44" s="63">
        <f t="shared" si="1"/>
        <v>28.799999999999997</v>
      </c>
      <c r="G44" s="63"/>
    </row>
    <row r="45" spans="1:7">
      <c r="A45" t="s">
        <v>207</v>
      </c>
      <c r="B45" s="19">
        <f>Sheet1!D89</f>
        <v>4.5</v>
      </c>
      <c r="C45" s="18">
        <v>0.25</v>
      </c>
      <c r="D45">
        <v>6</v>
      </c>
      <c r="E45" s="57">
        <f t="shared" si="5"/>
        <v>20.25</v>
      </c>
      <c r="F45" s="63">
        <f t="shared" si="1"/>
        <v>27</v>
      </c>
      <c r="G45" s="63"/>
    </row>
    <row r="46" spans="1:7">
      <c r="A46" t="s">
        <v>34</v>
      </c>
      <c r="B46" s="19">
        <f>Sheet1!D90</f>
        <v>2</v>
      </c>
      <c r="C46" s="18">
        <v>0.25</v>
      </c>
      <c r="D46">
        <v>6</v>
      </c>
      <c r="E46" s="57">
        <f t="shared" si="5"/>
        <v>9</v>
      </c>
      <c r="F46" s="63">
        <f t="shared" si="1"/>
        <v>12</v>
      </c>
      <c r="G46" s="63"/>
    </row>
    <row r="47" spans="1:7">
      <c r="A47" t="s">
        <v>35</v>
      </c>
      <c r="B47" s="19">
        <f>Sheet1!D91</f>
        <v>3.2</v>
      </c>
      <c r="C47" s="18">
        <v>0.25</v>
      </c>
      <c r="D47">
        <v>6</v>
      </c>
      <c r="E47" s="57">
        <f t="shared" si="5"/>
        <v>14.400000000000002</v>
      </c>
      <c r="F47" s="63">
        <f t="shared" si="1"/>
        <v>19.200000000000003</v>
      </c>
      <c r="G47" s="63"/>
    </row>
    <row r="48" spans="1:7">
      <c r="A48" t="s">
        <v>148</v>
      </c>
      <c r="B48" s="19">
        <f>Sheet1!D92</f>
        <v>4</v>
      </c>
      <c r="C48" s="18">
        <v>0.25</v>
      </c>
      <c r="D48">
        <v>6</v>
      </c>
      <c r="E48" s="57">
        <f t="shared" si="5"/>
        <v>18</v>
      </c>
      <c r="F48" s="63">
        <f t="shared" si="1"/>
        <v>24</v>
      </c>
      <c r="G48" s="63"/>
    </row>
    <row r="49" spans="1:7">
      <c r="A49" t="s">
        <v>149</v>
      </c>
      <c r="B49" s="19">
        <f>Sheet1!D93</f>
        <v>2.5</v>
      </c>
      <c r="C49" s="18">
        <v>0.25</v>
      </c>
      <c r="D49">
        <v>6</v>
      </c>
      <c r="E49" s="57">
        <f t="shared" si="5"/>
        <v>11.25</v>
      </c>
      <c r="F49" s="63">
        <f t="shared" si="1"/>
        <v>15</v>
      </c>
      <c r="G49" s="63"/>
    </row>
    <row r="50" spans="1:7">
      <c r="A50" t="s">
        <v>41</v>
      </c>
      <c r="B50" s="19">
        <f>Sheet1!D94</f>
        <v>1.5</v>
      </c>
      <c r="C50" s="18">
        <v>0.25</v>
      </c>
      <c r="D50">
        <v>6</v>
      </c>
      <c r="E50" s="57">
        <f t="shared" si="5"/>
        <v>6.75</v>
      </c>
      <c r="F50" s="63">
        <f t="shared" si="1"/>
        <v>9</v>
      </c>
      <c r="G50" s="63"/>
    </row>
    <row r="51" spans="1:7">
      <c r="B51" s="19"/>
      <c r="C51" s="18"/>
      <c r="F51" s="63"/>
      <c r="G51" s="63"/>
    </row>
    <row r="52" spans="1:7">
      <c r="A52" t="s">
        <v>136</v>
      </c>
      <c r="B52" s="19">
        <f>Sheet1!D96</f>
        <v>2</v>
      </c>
      <c r="C52" s="18">
        <v>0.25</v>
      </c>
      <c r="D52">
        <v>6</v>
      </c>
      <c r="E52" s="57">
        <f t="shared" ref="E52:E65" si="6">B52*(1-C52)*D52</f>
        <v>9</v>
      </c>
      <c r="F52" s="63">
        <f t="shared" si="1"/>
        <v>12</v>
      </c>
      <c r="G52" s="63"/>
    </row>
    <row r="53" spans="1:7">
      <c r="A53" t="s">
        <v>42</v>
      </c>
      <c r="B53" s="19">
        <f>Sheet1!D97</f>
        <v>5</v>
      </c>
      <c r="C53" s="18">
        <v>0.25</v>
      </c>
      <c r="D53">
        <v>6</v>
      </c>
      <c r="E53" s="57">
        <f t="shared" si="6"/>
        <v>22.5</v>
      </c>
      <c r="F53" s="63">
        <f t="shared" si="1"/>
        <v>30</v>
      </c>
      <c r="G53" s="63"/>
    </row>
    <row r="54" spans="1:7">
      <c r="A54" t="s">
        <v>43</v>
      </c>
      <c r="B54" s="19">
        <f>Sheet1!D98</f>
        <v>1.6</v>
      </c>
      <c r="C54" s="18">
        <v>0.25</v>
      </c>
      <c r="D54">
        <v>6</v>
      </c>
      <c r="E54" s="57">
        <f t="shared" si="6"/>
        <v>7.2000000000000011</v>
      </c>
      <c r="F54" s="63">
        <f t="shared" si="1"/>
        <v>9.6000000000000014</v>
      </c>
      <c r="G54" s="63"/>
    </row>
    <row r="55" spans="1:7">
      <c r="A55" t="s">
        <v>137</v>
      </c>
      <c r="B55" s="19">
        <f>Sheet1!D99</f>
        <v>2</v>
      </c>
      <c r="C55" s="18">
        <v>0.25</v>
      </c>
      <c r="D55">
        <v>6</v>
      </c>
      <c r="E55" s="57">
        <f t="shared" si="6"/>
        <v>9</v>
      </c>
      <c r="F55" s="63">
        <f t="shared" si="1"/>
        <v>12</v>
      </c>
      <c r="G55" s="63"/>
    </row>
    <row r="56" spans="1:7">
      <c r="A56" t="s">
        <v>138</v>
      </c>
      <c r="B56" s="19">
        <f>Sheet1!D100</f>
        <v>2</v>
      </c>
      <c r="C56" s="18">
        <v>0.25</v>
      </c>
      <c r="D56">
        <v>6</v>
      </c>
      <c r="E56" s="57">
        <f t="shared" si="6"/>
        <v>9</v>
      </c>
      <c r="F56" s="63">
        <f t="shared" si="1"/>
        <v>12</v>
      </c>
      <c r="G56" s="63"/>
    </row>
    <row r="57" spans="1:7">
      <c r="A57" t="s">
        <v>166</v>
      </c>
      <c r="B57" s="19">
        <f>Sheet1!D101</f>
        <v>3.6</v>
      </c>
      <c r="C57" s="18">
        <v>0.25</v>
      </c>
      <c r="D57">
        <v>6</v>
      </c>
      <c r="E57" s="57">
        <f t="shared" si="6"/>
        <v>16.200000000000003</v>
      </c>
      <c r="F57" s="63">
        <f t="shared" si="1"/>
        <v>21.6</v>
      </c>
      <c r="G57" s="63"/>
    </row>
    <row r="58" spans="1:7">
      <c r="A58" t="s">
        <v>167</v>
      </c>
      <c r="B58" s="19">
        <f>Sheet1!D102</f>
        <v>2.2000000000000002</v>
      </c>
      <c r="C58" s="18">
        <v>0.25</v>
      </c>
      <c r="D58">
        <v>6</v>
      </c>
      <c r="E58" s="57">
        <f t="shared" si="6"/>
        <v>9.9</v>
      </c>
      <c r="F58" s="63">
        <f t="shared" si="1"/>
        <v>13.200000000000001</v>
      </c>
      <c r="G58" s="63"/>
    </row>
    <row r="59" spans="1:7">
      <c r="A59" t="s">
        <v>181</v>
      </c>
      <c r="B59" s="19">
        <f>Sheet1!D104</f>
        <v>1</v>
      </c>
      <c r="C59" s="18">
        <v>0.25</v>
      </c>
      <c r="D59">
        <v>6</v>
      </c>
      <c r="E59" s="57">
        <f t="shared" si="6"/>
        <v>4.5</v>
      </c>
      <c r="F59" s="63">
        <f t="shared" si="1"/>
        <v>6</v>
      </c>
      <c r="G59" s="63"/>
    </row>
    <row r="60" spans="1:7">
      <c r="A60" t="s">
        <v>182</v>
      </c>
      <c r="B60" s="19">
        <f>Sheet1!D105</f>
        <v>2.8</v>
      </c>
      <c r="C60" s="18">
        <v>0.25</v>
      </c>
      <c r="D60">
        <v>6</v>
      </c>
      <c r="E60" s="57">
        <f t="shared" si="6"/>
        <v>12.599999999999998</v>
      </c>
      <c r="F60" s="63">
        <f t="shared" si="1"/>
        <v>16.799999999999997</v>
      </c>
      <c r="G60" s="63"/>
    </row>
    <row r="61" spans="1:7">
      <c r="A61" t="s">
        <v>183</v>
      </c>
      <c r="B61" s="19">
        <f>Sheet1!D106</f>
        <v>2</v>
      </c>
      <c r="C61" s="18">
        <v>0.25</v>
      </c>
      <c r="D61">
        <v>6</v>
      </c>
      <c r="E61" s="57">
        <f t="shared" si="6"/>
        <v>9</v>
      </c>
      <c r="F61" s="63">
        <f t="shared" si="1"/>
        <v>12</v>
      </c>
      <c r="G61" s="63"/>
    </row>
    <row r="62" spans="1:7">
      <c r="A62" t="s">
        <v>184</v>
      </c>
      <c r="B62" s="19">
        <f>Sheet1!D107</f>
        <v>4.5</v>
      </c>
      <c r="C62" s="18">
        <v>0.25</v>
      </c>
      <c r="D62">
        <v>6</v>
      </c>
      <c r="E62" s="57">
        <f t="shared" si="6"/>
        <v>20.25</v>
      </c>
      <c r="F62" s="63">
        <f t="shared" si="1"/>
        <v>27</v>
      </c>
      <c r="G62" s="63"/>
    </row>
    <row r="63" spans="1:7">
      <c r="A63" t="s">
        <v>185</v>
      </c>
      <c r="B63" s="19">
        <f>Sheet1!D108</f>
        <v>1.2</v>
      </c>
      <c r="C63" s="18">
        <v>0.25</v>
      </c>
      <c r="D63">
        <v>6</v>
      </c>
      <c r="E63" s="57">
        <f t="shared" si="6"/>
        <v>5.3999999999999995</v>
      </c>
      <c r="F63" s="63">
        <f t="shared" si="1"/>
        <v>7.1999999999999993</v>
      </c>
      <c r="G63" s="63"/>
    </row>
    <row r="64" spans="1:7">
      <c r="B64" s="19"/>
      <c r="C64" s="18"/>
      <c r="E64" s="57"/>
      <c r="F64" s="63"/>
      <c r="G64" s="63"/>
    </row>
    <row r="65" spans="1:8">
      <c r="A65" t="s">
        <v>77</v>
      </c>
      <c r="B65" s="19">
        <f>Sheet1!D110</f>
        <v>3.8</v>
      </c>
      <c r="C65" s="18">
        <v>0.25</v>
      </c>
      <c r="D65">
        <v>6</v>
      </c>
      <c r="E65" s="57">
        <f t="shared" si="6"/>
        <v>17.099999999999998</v>
      </c>
      <c r="F65" s="63">
        <f t="shared" ref="F65:F74" si="7">B65*D65</f>
        <v>22.799999999999997</v>
      </c>
      <c r="G65" s="63"/>
    </row>
    <row r="66" spans="1:8">
      <c r="B66" s="19"/>
      <c r="C66" s="18"/>
      <c r="E66" s="57"/>
      <c r="F66" s="63"/>
      <c r="G66" s="63"/>
    </row>
    <row r="67" spans="1:8">
      <c r="A67" t="s">
        <v>78</v>
      </c>
      <c r="B67" s="19">
        <f>Sheet1!D112</f>
        <v>3.5</v>
      </c>
      <c r="C67" s="18">
        <v>0.25</v>
      </c>
      <c r="D67">
        <v>10</v>
      </c>
      <c r="E67" s="57">
        <f t="shared" ref="E67:E68" si="8">B67*(1-C67)*D67</f>
        <v>26.25</v>
      </c>
      <c r="F67" s="63">
        <f t="shared" ref="F67:F68" si="9">B67*D67</f>
        <v>35</v>
      </c>
      <c r="G67" s="63"/>
    </row>
    <row r="68" spans="1:8">
      <c r="A68" t="s">
        <v>79</v>
      </c>
      <c r="B68" s="19">
        <f>Sheet1!D113</f>
        <v>3</v>
      </c>
      <c r="C68" s="18">
        <v>0.25</v>
      </c>
      <c r="D68">
        <v>10</v>
      </c>
      <c r="E68" s="57">
        <f t="shared" si="8"/>
        <v>22.5</v>
      </c>
      <c r="F68" s="63">
        <f t="shared" si="9"/>
        <v>30</v>
      </c>
      <c r="G68" s="63"/>
    </row>
    <row r="69" spans="1:8">
      <c r="F69" s="63"/>
      <c r="G69" s="63"/>
    </row>
    <row r="70" spans="1:8">
      <c r="A70" t="s">
        <v>218</v>
      </c>
      <c r="B70" s="20">
        <v>2.5</v>
      </c>
      <c r="C70" s="18">
        <v>0.25</v>
      </c>
      <c r="F70" s="63"/>
      <c r="G70" s="63"/>
    </row>
    <row r="71" spans="1:8">
      <c r="A71" t="s">
        <v>219</v>
      </c>
      <c r="B71" s="20">
        <v>3.5</v>
      </c>
      <c r="C71" s="18">
        <v>0.25</v>
      </c>
      <c r="F71" s="63"/>
      <c r="G71" s="63"/>
    </row>
    <row r="72" spans="1:8">
      <c r="F72" s="63"/>
      <c r="G72" s="63"/>
    </row>
    <row r="73" spans="1:8">
      <c r="A73" t="s">
        <v>15</v>
      </c>
      <c r="F73" s="63"/>
      <c r="G73" s="63"/>
    </row>
    <row r="74" spans="1:8">
      <c r="A74" t="s">
        <v>16</v>
      </c>
      <c r="B74" s="19">
        <f>Sheet1!$D$153</f>
        <v>12</v>
      </c>
      <c r="C74" s="18">
        <v>0.3</v>
      </c>
      <c r="D74">
        <v>12</v>
      </c>
      <c r="E74" s="57">
        <f t="shared" ref="E74" si="10">B74*(1-C74)*D74</f>
        <v>100.79999999999998</v>
      </c>
      <c r="F74" s="63">
        <f t="shared" si="7"/>
        <v>144</v>
      </c>
      <c r="G74" s="63"/>
    </row>
    <row r="76" spans="1:8">
      <c r="A76" t="s">
        <v>80</v>
      </c>
    </row>
    <row r="77" spans="1:8">
      <c r="A77" t="s">
        <v>81</v>
      </c>
      <c r="B77" s="20">
        <v>20</v>
      </c>
      <c r="C77" s="18">
        <v>0.35</v>
      </c>
      <c r="D77">
        <v>4</v>
      </c>
      <c r="E77" s="57">
        <f t="shared" ref="E77:E78" si="11">B77*(1-C77)*D77</f>
        <v>52</v>
      </c>
      <c r="F77" s="63">
        <f t="shared" ref="F77:F78" si="12">B77*D77</f>
        <v>80</v>
      </c>
      <c r="G77" s="63"/>
    </row>
    <row r="78" spans="1:8">
      <c r="A78" t="s">
        <v>222</v>
      </c>
      <c r="B78" s="20">
        <v>40</v>
      </c>
      <c r="C78" s="18">
        <v>0.35</v>
      </c>
      <c r="D78">
        <v>4</v>
      </c>
      <c r="E78" s="57">
        <f t="shared" si="11"/>
        <v>104</v>
      </c>
      <c r="F78" s="63">
        <f t="shared" si="12"/>
        <v>160</v>
      </c>
      <c r="G78" s="63">
        <f>SUM(E27:E78)/1.2</f>
        <v>762.5</v>
      </c>
      <c r="H78" s="65">
        <f>SUM(F27:F78)/1.2</f>
        <v>1034.6666666666667</v>
      </c>
    </row>
    <row r="81" spans="5:8">
      <c r="E81" s="57">
        <f>SUM(E5:E80)</f>
        <v>1266</v>
      </c>
      <c r="F81" s="63">
        <f>SUM(F5:F80)</f>
        <v>1709.5999999999997</v>
      </c>
      <c r="G81" s="66">
        <f>SUM(G5:G80)</f>
        <v>1093.632075471698</v>
      </c>
      <c r="H81" s="66">
        <f>SUM(H5:H80)</f>
        <v>1476.176100628931</v>
      </c>
    </row>
    <row r="83" spans="5:8">
      <c r="F83" s="64">
        <f>1-($E81/F81)</f>
        <v>0.25947590079550753</v>
      </c>
      <c r="G83" s="64"/>
      <c r="H83" s="64">
        <f>1-($G81/H81)</f>
        <v>0.25914525034936442</v>
      </c>
    </row>
    <row r="84" spans="5:8">
      <c r="H84" s="67">
        <f>1-(E81/H81)</f>
        <v>0.14237874501516756</v>
      </c>
    </row>
  </sheetData>
  <mergeCells count="1">
    <mergeCell ref="D2:E2"/>
  </mergeCells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79"/>
  <sheetViews>
    <sheetView workbookViewId="0"/>
  </sheetViews>
  <sheetFormatPr baseColWidth="10" defaultRowHeight="13"/>
  <cols>
    <col min="1" max="1" width="23.140625" customWidth="1"/>
    <col min="2" max="2" width="12.5703125" customWidth="1"/>
    <col min="3" max="3" width="12.28515625" customWidth="1"/>
    <col min="6" max="6" width="13.85546875" customWidth="1"/>
  </cols>
  <sheetData>
    <row r="1" spans="1:6" ht="27" customHeight="1">
      <c r="A1" s="38" t="s">
        <v>94</v>
      </c>
    </row>
    <row r="2" spans="1:6">
      <c r="D2" s="102" t="s">
        <v>242</v>
      </c>
      <c r="E2" s="102"/>
    </row>
    <row r="3" spans="1:6" ht="39">
      <c r="B3" s="16" t="s">
        <v>236</v>
      </c>
      <c r="C3" s="17" t="s">
        <v>14</v>
      </c>
      <c r="D3" s="62" t="s">
        <v>243</v>
      </c>
      <c r="E3" s="62" t="s">
        <v>244</v>
      </c>
      <c r="F3" s="62" t="s">
        <v>119</v>
      </c>
    </row>
    <row r="4" spans="1:6">
      <c r="A4" t="str">
        <f>Sheet1!A3</f>
        <v>Cachet</v>
      </c>
    </row>
    <row r="5" spans="1:6">
      <c r="A5" s="12" t="s">
        <v>198</v>
      </c>
      <c r="B5" s="57">
        <f>Sheet1!D4</f>
        <v>2.2999999999999998</v>
      </c>
      <c r="C5" s="61">
        <v>0.25</v>
      </c>
      <c r="D5">
        <v>6</v>
      </c>
      <c r="E5" s="57">
        <f>B5*(1-C5)*D5</f>
        <v>10.35</v>
      </c>
      <c r="F5" s="63">
        <f>B5*D5</f>
        <v>13.799999999999999</v>
      </c>
    </row>
    <row r="6" spans="1:6">
      <c r="A6" s="12" t="s">
        <v>199</v>
      </c>
      <c r="B6" s="57">
        <f>Sheet1!D5</f>
        <v>2.2999999999999998</v>
      </c>
      <c r="C6" s="61">
        <v>0.25</v>
      </c>
      <c r="D6">
        <v>6</v>
      </c>
      <c r="E6" s="57">
        <f t="shared" ref="E6:E23" si="0">B6*(1-C6)*D6</f>
        <v>10.35</v>
      </c>
      <c r="F6" s="63">
        <f t="shared" ref="F6:F68" si="1">B6*D6</f>
        <v>13.799999999999999</v>
      </c>
    </row>
    <row r="7" spans="1:6">
      <c r="A7" s="12" t="s">
        <v>200</v>
      </c>
      <c r="B7" s="57">
        <f>Sheet1!D6</f>
        <v>2.2999999999999998</v>
      </c>
      <c r="C7" s="61">
        <v>0.25</v>
      </c>
      <c r="D7">
        <v>6</v>
      </c>
      <c r="E7" s="57">
        <f t="shared" si="0"/>
        <v>10.35</v>
      </c>
      <c r="F7" s="63">
        <f t="shared" si="1"/>
        <v>13.799999999999999</v>
      </c>
    </row>
    <row r="8" spans="1:6">
      <c r="A8" s="12" t="s">
        <v>196</v>
      </c>
      <c r="B8" s="57">
        <f>Sheet1!D7</f>
        <v>2.2999999999999998</v>
      </c>
      <c r="C8" s="61">
        <v>0.25</v>
      </c>
      <c r="D8">
        <v>6</v>
      </c>
      <c r="E8" s="57">
        <f t="shared" si="0"/>
        <v>10.35</v>
      </c>
      <c r="F8" s="63">
        <f t="shared" si="1"/>
        <v>13.799999999999999</v>
      </c>
    </row>
    <row r="9" spans="1:6">
      <c r="A9" s="12"/>
      <c r="B9" s="57"/>
      <c r="C9" s="61"/>
      <c r="E9" s="57"/>
      <c r="F9" s="63"/>
    </row>
    <row r="10" spans="1:6">
      <c r="A10" s="12" t="s">
        <v>197</v>
      </c>
      <c r="B10" s="57">
        <f>Sheet1!D9</f>
        <v>2.2999999999999998</v>
      </c>
      <c r="C10" s="61">
        <v>0.25</v>
      </c>
      <c r="D10">
        <v>6</v>
      </c>
      <c r="E10" s="57">
        <f t="shared" si="0"/>
        <v>10.35</v>
      </c>
      <c r="F10" s="63">
        <f t="shared" si="1"/>
        <v>13.799999999999999</v>
      </c>
    </row>
    <row r="11" spans="1:6">
      <c r="A11" s="12" t="s">
        <v>179</v>
      </c>
      <c r="B11" s="57">
        <f>Sheet1!D10</f>
        <v>2.2999999999999998</v>
      </c>
      <c r="C11" s="61">
        <v>0.25</v>
      </c>
      <c r="D11">
        <v>6</v>
      </c>
      <c r="E11" s="57">
        <f t="shared" si="0"/>
        <v>10.35</v>
      </c>
      <c r="F11" s="63">
        <f t="shared" si="1"/>
        <v>13.799999999999999</v>
      </c>
    </row>
    <row r="12" spans="1:6">
      <c r="A12" s="12" t="s">
        <v>220</v>
      </c>
      <c r="B12" s="57">
        <f>Sheet1!D11</f>
        <v>2.2999999999999998</v>
      </c>
      <c r="C12" s="61">
        <v>0.25</v>
      </c>
      <c r="D12">
        <v>6</v>
      </c>
      <c r="E12" s="57">
        <f t="shared" si="0"/>
        <v>10.35</v>
      </c>
      <c r="F12" s="63">
        <f t="shared" si="1"/>
        <v>13.799999999999999</v>
      </c>
    </row>
    <row r="13" spans="1:6">
      <c r="A13" s="12" t="s">
        <v>221</v>
      </c>
      <c r="B13" s="57">
        <f>Sheet1!D12</f>
        <v>2.2999999999999998</v>
      </c>
      <c r="C13" s="61">
        <v>0.25</v>
      </c>
      <c r="D13">
        <v>6</v>
      </c>
      <c r="E13" s="57">
        <f t="shared" si="0"/>
        <v>10.35</v>
      </c>
      <c r="F13" s="63">
        <f t="shared" si="1"/>
        <v>13.799999999999999</v>
      </c>
    </row>
    <row r="14" spans="1:6">
      <c r="A14" s="12" t="s">
        <v>73</v>
      </c>
      <c r="B14" s="57">
        <f>Sheet1!D13</f>
        <v>2.2999999999999998</v>
      </c>
      <c r="C14" s="61">
        <v>0.25</v>
      </c>
      <c r="D14">
        <v>6</v>
      </c>
      <c r="E14" s="57">
        <f t="shared" si="0"/>
        <v>10.35</v>
      </c>
      <c r="F14" s="63">
        <f t="shared" si="1"/>
        <v>13.799999999999999</v>
      </c>
    </row>
    <row r="15" spans="1:6">
      <c r="A15" s="12" t="s">
        <v>61</v>
      </c>
      <c r="B15" s="57">
        <f>Sheet1!D14</f>
        <v>2.2999999999999998</v>
      </c>
      <c r="C15" s="61">
        <v>0.25</v>
      </c>
      <c r="D15">
        <v>6</v>
      </c>
      <c r="E15" s="57">
        <f t="shared" si="0"/>
        <v>10.35</v>
      </c>
      <c r="F15" s="63">
        <f t="shared" si="1"/>
        <v>13.799999999999999</v>
      </c>
    </row>
    <row r="16" spans="1:6">
      <c r="A16" s="12"/>
      <c r="B16" s="57"/>
      <c r="C16" s="61"/>
      <c r="E16" s="57"/>
      <c r="F16" s="63"/>
    </row>
    <row r="17" spans="1:6">
      <c r="A17" s="12" t="s">
        <v>62</v>
      </c>
      <c r="B17" s="57">
        <f>Sheet1!D16</f>
        <v>2.5</v>
      </c>
      <c r="C17" s="61">
        <v>0.25</v>
      </c>
      <c r="D17">
        <v>6</v>
      </c>
      <c r="E17" s="57">
        <f t="shared" si="0"/>
        <v>11.25</v>
      </c>
      <c r="F17" s="63">
        <f t="shared" si="1"/>
        <v>15</v>
      </c>
    </row>
    <row r="18" spans="1:6">
      <c r="A18" s="12" t="s">
        <v>63</v>
      </c>
      <c r="B18" s="57">
        <f>Sheet1!D17</f>
        <v>2.5</v>
      </c>
      <c r="C18" s="61">
        <v>0.25</v>
      </c>
      <c r="D18">
        <v>6</v>
      </c>
      <c r="E18" s="57">
        <f t="shared" si="0"/>
        <v>11.25</v>
      </c>
      <c r="F18" s="63">
        <f t="shared" si="1"/>
        <v>15</v>
      </c>
    </row>
    <row r="19" spans="1:6">
      <c r="A19" s="12" t="s">
        <v>64</v>
      </c>
      <c r="B19" s="57">
        <f>Sheet1!D18</f>
        <v>2.5</v>
      </c>
      <c r="C19" s="61">
        <v>0.25</v>
      </c>
      <c r="D19">
        <v>6</v>
      </c>
      <c r="E19" s="57">
        <f t="shared" si="0"/>
        <v>11.25</v>
      </c>
      <c r="F19" s="63">
        <f t="shared" si="1"/>
        <v>15</v>
      </c>
    </row>
    <row r="20" spans="1:6">
      <c r="A20" s="12"/>
      <c r="B20" s="57" t="e">
        <f>Sheet1!#REF!</f>
        <v>#REF!</v>
      </c>
      <c r="C20" s="61">
        <v>0.25</v>
      </c>
      <c r="D20">
        <v>6</v>
      </c>
      <c r="E20" s="57" t="e">
        <f t="shared" si="0"/>
        <v>#REF!</v>
      </c>
      <c r="F20" s="63" t="e">
        <f t="shared" si="1"/>
        <v>#REF!</v>
      </c>
    </row>
    <row r="21" spans="1:6">
      <c r="A21" s="12" t="s">
        <v>65</v>
      </c>
      <c r="B21" s="57">
        <f>Sheet1!D19</f>
        <v>2.5</v>
      </c>
      <c r="C21" s="61">
        <v>0.25</v>
      </c>
      <c r="D21">
        <v>6</v>
      </c>
      <c r="E21" s="57">
        <f t="shared" si="0"/>
        <v>11.25</v>
      </c>
      <c r="F21" s="63">
        <f t="shared" si="1"/>
        <v>15</v>
      </c>
    </row>
    <row r="22" spans="1:6">
      <c r="A22" s="12" t="s">
        <v>234</v>
      </c>
      <c r="B22" s="57">
        <f>Sheet1!D20</f>
        <v>3</v>
      </c>
      <c r="C22" s="61">
        <v>0.25</v>
      </c>
      <c r="D22">
        <v>6</v>
      </c>
      <c r="E22" s="57">
        <f t="shared" si="0"/>
        <v>13.5</v>
      </c>
      <c r="F22" s="63">
        <f t="shared" si="1"/>
        <v>18</v>
      </c>
    </row>
    <row r="23" spans="1:6">
      <c r="A23" s="12" t="s">
        <v>235</v>
      </c>
      <c r="B23" s="57">
        <f>Sheet1!D21</f>
        <v>3</v>
      </c>
      <c r="C23" s="61">
        <v>0.25</v>
      </c>
      <c r="D23">
        <v>6</v>
      </c>
      <c r="E23" s="57">
        <f t="shared" si="0"/>
        <v>13.5</v>
      </c>
      <c r="F23" s="63">
        <f t="shared" si="1"/>
        <v>18</v>
      </c>
    </row>
    <row r="24" spans="1:6">
      <c r="F24" s="63"/>
    </row>
    <row r="25" spans="1:6">
      <c r="A25" t="s">
        <v>103</v>
      </c>
      <c r="F25" s="63"/>
    </row>
    <row r="26" spans="1:6">
      <c r="A26" t="s">
        <v>104</v>
      </c>
      <c r="F26" s="63"/>
    </row>
    <row r="27" spans="1:6">
      <c r="A27" t="s">
        <v>105</v>
      </c>
      <c r="B27" s="57">
        <f>Sheet1!D46</f>
        <v>6</v>
      </c>
      <c r="C27" s="61">
        <v>0.2</v>
      </c>
      <c r="D27">
        <v>6</v>
      </c>
      <c r="E27" s="57">
        <f t="shared" ref="E27:E28" si="2">B27*(1-C27)*D27</f>
        <v>28.800000000000004</v>
      </c>
      <c r="F27" s="63">
        <f t="shared" si="1"/>
        <v>36</v>
      </c>
    </row>
    <row r="28" spans="1:6">
      <c r="A28" t="s">
        <v>106</v>
      </c>
      <c r="B28" s="57">
        <f>Sheet1!D47</f>
        <v>10</v>
      </c>
      <c r="C28" s="61">
        <v>0.2</v>
      </c>
      <c r="D28">
        <v>6</v>
      </c>
      <c r="E28" s="57">
        <f t="shared" si="2"/>
        <v>48</v>
      </c>
      <c r="F28" s="63">
        <f t="shared" si="1"/>
        <v>60</v>
      </c>
    </row>
    <row r="29" spans="1:6">
      <c r="B29" s="57"/>
      <c r="F29" s="63"/>
    </row>
    <row r="30" spans="1:6">
      <c r="A30" t="s">
        <v>23</v>
      </c>
      <c r="B30" s="57"/>
      <c r="F30" s="63"/>
    </row>
    <row r="31" spans="1:6">
      <c r="A31" t="s">
        <v>24</v>
      </c>
      <c r="B31" s="57">
        <f>Sheet1!D62</f>
        <v>10</v>
      </c>
      <c r="C31" s="61">
        <v>0.15</v>
      </c>
      <c r="D31">
        <v>6</v>
      </c>
      <c r="E31" s="57">
        <f t="shared" ref="E31:E32" si="3">B31*(1-C31)*D31</f>
        <v>51</v>
      </c>
      <c r="F31" s="63">
        <f t="shared" si="1"/>
        <v>60</v>
      </c>
    </row>
    <row r="32" spans="1:6">
      <c r="A32" t="s">
        <v>25</v>
      </c>
      <c r="B32" s="57">
        <f>Sheet1!D63</f>
        <v>14</v>
      </c>
      <c r="C32" s="61">
        <v>0.2</v>
      </c>
      <c r="D32">
        <v>6</v>
      </c>
      <c r="E32" s="57">
        <f t="shared" si="3"/>
        <v>67.2</v>
      </c>
      <c r="F32" s="63">
        <f t="shared" si="1"/>
        <v>84</v>
      </c>
    </row>
    <row r="33" spans="1:6">
      <c r="B33" s="57"/>
      <c r="F33" s="63"/>
    </row>
    <row r="34" spans="1:6">
      <c r="B34" s="57"/>
      <c r="F34" s="63"/>
    </row>
    <row r="35" spans="1:6">
      <c r="A35" t="s">
        <v>26</v>
      </c>
      <c r="B35" s="57">
        <f>Sheet1!D66</f>
        <v>2.5</v>
      </c>
      <c r="C35" s="61">
        <v>0.2</v>
      </c>
      <c r="F35" s="63"/>
    </row>
    <row r="36" spans="1:6">
      <c r="A36" t="s">
        <v>122</v>
      </c>
      <c r="B36" s="57">
        <f>Sheet1!D67</f>
        <v>2.5</v>
      </c>
      <c r="C36" s="61">
        <v>0.2</v>
      </c>
      <c r="F36" s="63"/>
    </row>
    <row r="37" spans="1:6">
      <c r="A37" t="s">
        <v>162</v>
      </c>
      <c r="B37" s="57">
        <f>Sheet1!D68</f>
        <v>2.5</v>
      </c>
      <c r="C37" s="61">
        <v>0.2</v>
      </c>
      <c r="F37" s="63"/>
    </row>
    <row r="38" spans="1:6">
      <c r="A38" t="s">
        <v>163</v>
      </c>
      <c r="B38" s="57">
        <f>Sheet1!D69</f>
        <v>2.5</v>
      </c>
      <c r="C38" s="61">
        <v>0.2</v>
      </c>
      <c r="F38" s="63"/>
    </row>
    <row r="39" spans="1:6">
      <c r="F39" s="63"/>
    </row>
    <row r="40" spans="1:6">
      <c r="A40" t="s">
        <v>164</v>
      </c>
      <c r="B40" s="57">
        <f>Sheet1!D79</f>
        <v>3.8</v>
      </c>
      <c r="C40" s="61">
        <v>0.25</v>
      </c>
      <c r="D40">
        <v>6</v>
      </c>
      <c r="E40" s="57">
        <f t="shared" ref="E40:E55" si="4">B40*(1-C40)*D40</f>
        <v>17.099999999999998</v>
      </c>
      <c r="F40" s="63">
        <f t="shared" si="1"/>
        <v>22.799999999999997</v>
      </c>
    </row>
    <row r="41" spans="1:6">
      <c r="A41" t="s">
        <v>165</v>
      </c>
      <c r="B41" s="57">
        <f>Sheet1!D80</f>
        <v>2.5</v>
      </c>
      <c r="C41" s="61">
        <v>0.25</v>
      </c>
      <c r="D41">
        <v>6</v>
      </c>
      <c r="E41" s="57">
        <f t="shared" si="4"/>
        <v>11.25</v>
      </c>
      <c r="F41" s="63">
        <f t="shared" si="1"/>
        <v>15</v>
      </c>
    </row>
    <row r="42" spans="1:6">
      <c r="A42" t="s">
        <v>203</v>
      </c>
      <c r="B42" s="57">
        <f>Sheet1!D81</f>
        <v>4</v>
      </c>
      <c r="C42" s="61">
        <v>0.25</v>
      </c>
      <c r="D42">
        <v>6</v>
      </c>
      <c r="E42" s="57">
        <f t="shared" si="4"/>
        <v>18</v>
      </c>
      <c r="F42" s="63">
        <f t="shared" si="1"/>
        <v>24</v>
      </c>
    </row>
    <row r="43" spans="1:6">
      <c r="A43" t="s">
        <v>72</v>
      </c>
      <c r="B43" s="57">
        <f>Sheet1!D82</f>
        <v>3.8</v>
      </c>
      <c r="C43" s="61">
        <v>0.25</v>
      </c>
      <c r="D43">
        <v>6</v>
      </c>
      <c r="E43" s="57">
        <f t="shared" si="4"/>
        <v>17.099999999999998</v>
      </c>
      <c r="F43" s="63">
        <f t="shared" si="1"/>
        <v>22.799999999999997</v>
      </c>
    </row>
    <row r="44" spans="1:6">
      <c r="A44" t="s">
        <v>82</v>
      </c>
      <c r="B44" s="57">
        <f>Sheet1!D83</f>
        <v>3.4</v>
      </c>
      <c r="C44" s="61">
        <v>0.25</v>
      </c>
      <c r="D44">
        <v>6</v>
      </c>
      <c r="E44" s="57">
        <f t="shared" si="4"/>
        <v>15.299999999999999</v>
      </c>
      <c r="F44" s="63">
        <f t="shared" si="1"/>
        <v>20.399999999999999</v>
      </c>
    </row>
    <row r="45" spans="1:6">
      <c r="A45" t="s">
        <v>83</v>
      </c>
      <c r="B45" s="57">
        <f>Sheet1!D84</f>
        <v>4.2</v>
      </c>
      <c r="C45" s="61">
        <v>0.25</v>
      </c>
      <c r="D45">
        <v>6</v>
      </c>
      <c r="E45" s="57">
        <f t="shared" si="4"/>
        <v>18.900000000000002</v>
      </c>
      <c r="F45" s="63">
        <f t="shared" si="1"/>
        <v>25.200000000000003</v>
      </c>
    </row>
    <row r="46" spans="1:6">
      <c r="A46" t="s">
        <v>151</v>
      </c>
      <c r="B46" s="57">
        <f>Sheet1!D85</f>
        <v>3.8</v>
      </c>
      <c r="C46" s="61">
        <v>0.25</v>
      </c>
      <c r="D46">
        <v>6</v>
      </c>
      <c r="E46" s="57">
        <f t="shared" si="4"/>
        <v>17.099999999999998</v>
      </c>
      <c r="F46" s="63">
        <f t="shared" si="1"/>
        <v>22.799999999999997</v>
      </c>
    </row>
    <row r="47" spans="1:6">
      <c r="A47" t="s">
        <v>152</v>
      </c>
      <c r="B47" s="57">
        <f>Sheet1!D86</f>
        <v>4.4000000000000004</v>
      </c>
      <c r="C47" s="61">
        <v>0.25</v>
      </c>
      <c r="D47">
        <v>6</v>
      </c>
      <c r="E47" s="57">
        <f t="shared" si="4"/>
        <v>19.8</v>
      </c>
      <c r="F47" s="63">
        <f t="shared" si="1"/>
        <v>26.400000000000002</v>
      </c>
    </row>
    <row r="48" spans="1:6">
      <c r="A48" t="s">
        <v>30</v>
      </c>
      <c r="B48" s="57">
        <f>Sheet1!D87</f>
        <v>6</v>
      </c>
      <c r="C48" s="61">
        <v>0.25</v>
      </c>
      <c r="D48">
        <v>6</v>
      </c>
      <c r="E48" s="57">
        <f t="shared" si="4"/>
        <v>27</v>
      </c>
      <c r="F48" s="63">
        <f t="shared" si="1"/>
        <v>36</v>
      </c>
    </row>
    <row r="49" spans="1:6">
      <c r="A49" t="s">
        <v>150</v>
      </c>
      <c r="B49" s="57">
        <f>Sheet1!D88</f>
        <v>4.8</v>
      </c>
      <c r="C49" s="61">
        <v>0.25</v>
      </c>
      <c r="D49">
        <v>6</v>
      </c>
      <c r="E49" s="57">
        <f t="shared" si="4"/>
        <v>21.599999999999998</v>
      </c>
      <c r="F49" s="63">
        <f t="shared" si="1"/>
        <v>28.799999999999997</v>
      </c>
    </row>
    <row r="50" spans="1:6">
      <c r="A50" t="s">
        <v>207</v>
      </c>
      <c r="B50" s="57">
        <f>Sheet1!D89</f>
        <v>4.5</v>
      </c>
      <c r="C50" s="61">
        <v>0.25</v>
      </c>
      <c r="D50">
        <v>6</v>
      </c>
      <c r="E50" s="57">
        <f t="shared" si="4"/>
        <v>20.25</v>
      </c>
      <c r="F50" s="63">
        <f t="shared" si="1"/>
        <v>27</v>
      </c>
    </row>
    <row r="51" spans="1:6">
      <c r="A51" t="s">
        <v>34</v>
      </c>
      <c r="B51" s="57">
        <f>Sheet1!D90</f>
        <v>2</v>
      </c>
      <c r="C51" s="61">
        <v>0.25</v>
      </c>
      <c r="D51">
        <v>6</v>
      </c>
      <c r="E51" s="57">
        <f t="shared" si="4"/>
        <v>9</v>
      </c>
      <c r="F51" s="63">
        <f t="shared" si="1"/>
        <v>12</v>
      </c>
    </row>
    <row r="52" spans="1:6">
      <c r="A52" t="s">
        <v>35</v>
      </c>
      <c r="B52" s="57">
        <f>Sheet1!D91</f>
        <v>3.2</v>
      </c>
      <c r="C52" s="61">
        <v>0.25</v>
      </c>
      <c r="D52">
        <v>6</v>
      </c>
      <c r="E52" s="57">
        <f t="shared" si="4"/>
        <v>14.400000000000002</v>
      </c>
      <c r="F52" s="63">
        <f t="shared" si="1"/>
        <v>19.200000000000003</v>
      </c>
    </row>
    <row r="53" spans="1:6">
      <c r="A53" t="s">
        <v>148</v>
      </c>
      <c r="B53" s="57">
        <f>Sheet1!D92</f>
        <v>4</v>
      </c>
      <c r="C53" s="61">
        <v>0.25</v>
      </c>
      <c r="D53">
        <v>6</v>
      </c>
      <c r="E53" s="57">
        <f t="shared" si="4"/>
        <v>18</v>
      </c>
      <c r="F53" s="63">
        <f t="shared" si="1"/>
        <v>24</v>
      </c>
    </row>
    <row r="54" spans="1:6">
      <c r="A54" t="s">
        <v>149</v>
      </c>
      <c r="B54" s="57">
        <f>Sheet1!D93</f>
        <v>2.5</v>
      </c>
      <c r="C54" s="61">
        <v>0.25</v>
      </c>
      <c r="D54">
        <v>6</v>
      </c>
      <c r="E54" s="57">
        <f t="shared" si="4"/>
        <v>11.25</v>
      </c>
      <c r="F54" s="63">
        <f t="shared" si="1"/>
        <v>15</v>
      </c>
    </row>
    <row r="55" spans="1:6">
      <c r="A55" t="s">
        <v>41</v>
      </c>
      <c r="B55" s="57">
        <f>Sheet1!D94</f>
        <v>1.5</v>
      </c>
      <c r="C55" s="61">
        <v>0.25</v>
      </c>
      <c r="D55">
        <v>6</v>
      </c>
      <c r="E55" s="57">
        <f t="shared" si="4"/>
        <v>6.75</v>
      </c>
      <c r="F55" s="63">
        <f t="shared" si="1"/>
        <v>9</v>
      </c>
    </row>
    <row r="56" spans="1:6">
      <c r="B56" s="57"/>
      <c r="C56" s="61"/>
      <c r="F56" s="63"/>
    </row>
    <row r="57" spans="1:6">
      <c r="A57" t="s">
        <v>136</v>
      </c>
      <c r="B57" s="57">
        <f>Sheet1!D96</f>
        <v>2</v>
      </c>
      <c r="C57" s="61">
        <v>0.25</v>
      </c>
      <c r="D57">
        <v>6</v>
      </c>
      <c r="E57" s="57">
        <f t="shared" ref="E57:E70" si="5">B57*(1-C57)*D57</f>
        <v>9</v>
      </c>
      <c r="F57" s="63">
        <f t="shared" si="1"/>
        <v>12</v>
      </c>
    </row>
    <row r="58" spans="1:6">
      <c r="A58" t="s">
        <v>42</v>
      </c>
      <c r="B58" s="57">
        <f>Sheet1!D97</f>
        <v>5</v>
      </c>
      <c r="C58" s="61">
        <v>0.25</v>
      </c>
      <c r="D58">
        <v>6</v>
      </c>
      <c r="E58" s="57">
        <f t="shared" si="5"/>
        <v>22.5</v>
      </c>
      <c r="F58" s="63">
        <f t="shared" si="1"/>
        <v>30</v>
      </c>
    </row>
    <row r="59" spans="1:6">
      <c r="A59" t="s">
        <v>43</v>
      </c>
      <c r="B59" s="57">
        <f>Sheet1!D98</f>
        <v>1.6</v>
      </c>
      <c r="C59" s="61">
        <v>0.25</v>
      </c>
      <c r="D59">
        <v>6</v>
      </c>
      <c r="E59" s="57">
        <f t="shared" si="5"/>
        <v>7.2000000000000011</v>
      </c>
      <c r="F59" s="63">
        <f t="shared" si="1"/>
        <v>9.6000000000000014</v>
      </c>
    </row>
    <row r="60" spans="1:6">
      <c r="A60" t="s">
        <v>137</v>
      </c>
      <c r="B60" s="57">
        <f>Sheet1!D99</f>
        <v>2</v>
      </c>
      <c r="C60" s="61">
        <v>0.25</v>
      </c>
      <c r="D60">
        <v>6</v>
      </c>
      <c r="E60" s="57">
        <f t="shared" si="5"/>
        <v>9</v>
      </c>
      <c r="F60" s="63">
        <f t="shared" si="1"/>
        <v>12</v>
      </c>
    </row>
    <row r="61" spans="1:6">
      <c r="A61" t="s">
        <v>138</v>
      </c>
      <c r="B61" s="57">
        <f>Sheet1!D100</f>
        <v>2</v>
      </c>
      <c r="C61" s="61">
        <v>0.25</v>
      </c>
      <c r="D61">
        <v>6</v>
      </c>
      <c r="E61" s="57">
        <f t="shared" si="5"/>
        <v>9</v>
      </c>
      <c r="F61" s="63">
        <f t="shared" si="1"/>
        <v>12</v>
      </c>
    </row>
    <row r="62" spans="1:6">
      <c r="A62" t="s">
        <v>166</v>
      </c>
      <c r="B62" s="57">
        <f>Sheet1!D101</f>
        <v>3.6</v>
      </c>
      <c r="C62" s="61">
        <v>0.25</v>
      </c>
      <c r="D62">
        <v>6</v>
      </c>
      <c r="E62" s="57">
        <f t="shared" si="5"/>
        <v>16.200000000000003</v>
      </c>
      <c r="F62" s="63">
        <f t="shared" si="1"/>
        <v>21.6</v>
      </c>
    </row>
    <row r="63" spans="1:6">
      <c r="A63" t="s">
        <v>167</v>
      </c>
      <c r="B63" s="57">
        <f>Sheet1!D102</f>
        <v>2.2000000000000002</v>
      </c>
      <c r="C63" s="61">
        <v>0.25</v>
      </c>
      <c r="D63">
        <v>6</v>
      </c>
      <c r="E63" s="57">
        <f t="shared" si="5"/>
        <v>9.9</v>
      </c>
      <c r="F63" s="63">
        <f t="shared" si="1"/>
        <v>13.200000000000001</v>
      </c>
    </row>
    <row r="64" spans="1:6">
      <c r="A64" t="s">
        <v>181</v>
      </c>
      <c r="B64" s="57">
        <f>Sheet1!D104</f>
        <v>1</v>
      </c>
      <c r="C64" s="61">
        <v>0.25</v>
      </c>
      <c r="D64">
        <v>6</v>
      </c>
      <c r="E64" s="57">
        <f t="shared" si="5"/>
        <v>4.5</v>
      </c>
      <c r="F64" s="63">
        <f t="shared" si="1"/>
        <v>6</v>
      </c>
    </row>
    <row r="65" spans="1:6">
      <c r="A65" t="s">
        <v>182</v>
      </c>
      <c r="B65" s="57">
        <f>Sheet1!D105</f>
        <v>2.8</v>
      </c>
      <c r="C65" s="61">
        <v>0.25</v>
      </c>
      <c r="D65">
        <v>6</v>
      </c>
      <c r="E65" s="57">
        <f t="shared" si="5"/>
        <v>12.599999999999998</v>
      </c>
      <c r="F65" s="63">
        <f t="shared" si="1"/>
        <v>16.799999999999997</v>
      </c>
    </row>
    <row r="66" spans="1:6">
      <c r="A66" t="s">
        <v>183</v>
      </c>
      <c r="B66" s="57">
        <f>Sheet1!D106</f>
        <v>2</v>
      </c>
      <c r="C66" s="61">
        <v>0.25</v>
      </c>
      <c r="D66">
        <v>6</v>
      </c>
      <c r="E66" s="57">
        <f t="shared" si="5"/>
        <v>9</v>
      </c>
      <c r="F66" s="63">
        <f t="shared" si="1"/>
        <v>12</v>
      </c>
    </row>
    <row r="67" spans="1:6">
      <c r="A67" t="s">
        <v>184</v>
      </c>
      <c r="B67" s="57">
        <f>Sheet1!D107</f>
        <v>4.5</v>
      </c>
      <c r="C67" s="61">
        <v>0.25</v>
      </c>
      <c r="D67">
        <v>6</v>
      </c>
      <c r="E67" s="57">
        <f t="shared" si="5"/>
        <v>20.25</v>
      </c>
      <c r="F67" s="63">
        <f t="shared" si="1"/>
        <v>27</v>
      </c>
    </row>
    <row r="68" spans="1:6">
      <c r="A68" t="s">
        <v>185</v>
      </c>
      <c r="B68" s="57">
        <f>Sheet1!D108</f>
        <v>1.2</v>
      </c>
      <c r="C68" s="61">
        <v>0.25</v>
      </c>
      <c r="D68">
        <v>6</v>
      </c>
      <c r="E68" s="57">
        <f t="shared" si="5"/>
        <v>5.3999999999999995</v>
      </c>
      <c r="F68" s="63">
        <f t="shared" si="1"/>
        <v>7.1999999999999993</v>
      </c>
    </row>
    <row r="69" spans="1:6">
      <c r="B69" s="57"/>
      <c r="C69" s="61"/>
      <c r="E69" s="57"/>
      <c r="F69" s="63"/>
    </row>
    <row r="70" spans="1:6">
      <c r="A70" t="s">
        <v>77</v>
      </c>
      <c r="B70" s="57">
        <f>Sheet1!D110</f>
        <v>3.8</v>
      </c>
      <c r="C70" s="61">
        <v>0.25</v>
      </c>
      <c r="D70">
        <v>6</v>
      </c>
      <c r="E70" s="57">
        <f t="shared" si="5"/>
        <v>17.099999999999998</v>
      </c>
      <c r="F70" s="63">
        <f t="shared" ref="F70:F74" si="6">B70*D70</f>
        <v>22.799999999999997</v>
      </c>
    </row>
    <row r="71" spans="1:6">
      <c r="B71" s="57"/>
      <c r="C71" s="61"/>
      <c r="E71" s="57"/>
      <c r="F71" s="63"/>
    </row>
    <row r="72" spans="1:6">
      <c r="F72" s="63"/>
    </row>
    <row r="73" spans="1:6">
      <c r="A73" t="s">
        <v>15</v>
      </c>
      <c r="F73" s="63"/>
    </row>
    <row r="74" spans="1:6">
      <c r="A74" t="s">
        <v>16</v>
      </c>
      <c r="B74" s="57">
        <f>Sheet1!$D$153</f>
        <v>12</v>
      </c>
      <c r="C74" s="61">
        <v>0.3</v>
      </c>
      <c r="D74">
        <v>12</v>
      </c>
      <c r="E74" s="57">
        <f t="shared" ref="E74" si="7">B74*(1-C74)*D74</f>
        <v>100.79999999999998</v>
      </c>
      <c r="F74" s="63">
        <f t="shared" si="6"/>
        <v>144</v>
      </c>
    </row>
    <row r="77" spans="1:6">
      <c r="E77" s="57" t="e">
        <f>SUM(E5:E76)</f>
        <v>#REF!</v>
      </c>
      <c r="F77" s="63" t="e">
        <f>SUM(F5:F76)</f>
        <v>#REF!</v>
      </c>
    </row>
    <row r="79" spans="1:6">
      <c r="F79" s="64" t="e">
        <f>1-($E77/F77)</f>
        <v>#REF!</v>
      </c>
    </row>
  </sheetData>
  <mergeCells count="1">
    <mergeCell ref="D2:E2"/>
  </mergeCells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I39"/>
  <sheetViews>
    <sheetView tabSelected="1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F31" sqref="F31:F32"/>
    </sheetView>
  </sheetViews>
  <sheetFormatPr baseColWidth="10" defaultRowHeight="16"/>
  <cols>
    <col min="1" max="1" width="10.7109375" style="72"/>
    <col min="2" max="2" width="22.28515625" style="72" customWidth="1"/>
    <col min="3" max="3" width="11" style="72" customWidth="1"/>
    <col min="4" max="16384" width="10.7109375" style="72"/>
  </cols>
  <sheetData>
    <row r="3" spans="1:9">
      <c r="B3" s="73" t="s">
        <v>27</v>
      </c>
      <c r="C3" s="73" t="s">
        <v>250</v>
      </c>
      <c r="D3" s="73" t="s">
        <v>126</v>
      </c>
      <c r="E3" s="73" t="s">
        <v>127</v>
      </c>
      <c r="F3" s="73" t="s">
        <v>251</v>
      </c>
      <c r="G3" s="73" t="s">
        <v>252</v>
      </c>
      <c r="H3" s="73" t="s">
        <v>253</v>
      </c>
    </row>
    <row r="4" spans="1:9">
      <c r="A4" s="74">
        <v>40847</v>
      </c>
      <c r="D4" s="75"/>
      <c r="E4" s="76">
        <f t="shared" ref="E4:E34" si="0">C4*2*0.1</f>
        <v>0</v>
      </c>
      <c r="F4" s="77">
        <f>cachet!T5+ROA!N5+Tetart!F5+LHEA!E5+tack!F5+epices!R5+sirops!H5+thes!T5+ainesse!N5+Cretolive!E5+Croutet!P5+Aimants!F5</f>
        <v>0</v>
      </c>
      <c r="G4" s="77">
        <f>cachet!U5+ROA!O5+Tetart!G5+LHEA!F5+tack!G5+epices!S5+sirops!I5+thes!U5+ainesse!O5+Cretolive!F5+Croutet!Q5+Aimants!G5</f>
        <v>0</v>
      </c>
      <c r="H4" s="75">
        <f>G4-D4-E4</f>
        <v>0</v>
      </c>
      <c r="I4" s="80" t="e">
        <f>H4/F4</f>
        <v>#DIV/0!</v>
      </c>
    </row>
    <row r="5" spans="1:9">
      <c r="A5" s="74">
        <v>40848</v>
      </c>
      <c r="D5" s="75"/>
      <c r="E5" s="76">
        <f t="shared" si="0"/>
        <v>0</v>
      </c>
      <c r="F5" s="77">
        <f>cachet!T6+ROA!N6+Tetart!F6+LHEA!E6+tack!F6+epices!R6+sirops!H6+thes!T6+ainesse!N6+Cretolive!E6+Croutet!P6+Aimants!F6</f>
        <v>0</v>
      </c>
      <c r="G5" s="77">
        <f>cachet!U6+ROA!O6+Tetart!G6+LHEA!F6+tack!G6+epices!S6+sirops!I6+thes!U6+ainesse!O6+Cretolive!F6+Croutet!Q6+Aimants!G6</f>
        <v>0</v>
      </c>
      <c r="H5" s="75">
        <f t="shared" ref="H5:H33" si="1">G5-D5-E5</f>
        <v>0</v>
      </c>
      <c r="I5" s="80" t="e">
        <f t="shared" ref="I5:I34" si="2">H5/F5</f>
        <v>#DIV/0!</v>
      </c>
    </row>
    <row r="6" spans="1:9">
      <c r="A6" s="74">
        <v>40849</v>
      </c>
      <c r="B6" s="74"/>
      <c r="C6" s="74"/>
      <c r="D6" s="75"/>
      <c r="E6" s="76">
        <f t="shared" si="0"/>
        <v>0</v>
      </c>
      <c r="F6" s="77">
        <f>cachet!T7+ROA!N7+Tetart!F7+LHEA!E7+tack!F7+epices!R7+sirops!H7+thes!T7+ainesse!N7+Cretolive!E7+Croutet!P7+Aimants!F7</f>
        <v>0</v>
      </c>
      <c r="G6" s="77">
        <f>cachet!U7+ROA!O7+Tetart!G7+LHEA!F7+tack!G7+epices!S7+sirops!I7+thes!U7+ainesse!O7+Cretolive!F7+Croutet!Q7+Aimants!G7</f>
        <v>0</v>
      </c>
      <c r="H6" s="75">
        <f t="shared" si="1"/>
        <v>0</v>
      </c>
      <c r="I6" s="80"/>
    </row>
    <row r="7" spans="1:9">
      <c r="A7" s="74">
        <v>40850</v>
      </c>
      <c r="B7" s="74"/>
      <c r="C7" s="74"/>
      <c r="D7" s="75"/>
      <c r="E7" s="76">
        <f t="shared" si="0"/>
        <v>0</v>
      </c>
      <c r="F7" s="77">
        <f>cachet!T8+ROA!N8+Tetart!F8+LHEA!E8+tack!F8+epices!R8+sirops!H8+thes!T8+ainesse!N8+Cretolive!E8+Croutet!P8+Aimants!F8</f>
        <v>0</v>
      </c>
      <c r="G7" s="77">
        <f>cachet!U8+ROA!O8+Tetart!G8+LHEA!F8+tack!G8+epices!S8+sirops!I8+thes!U8+ainesse!O8+Cretolive!F8+Croutet!Q8+Aimants!G8</f>
        <v>0</v>
      </c>
      <c r="H7" s="75">
        <f t="shared" si="1"/>
        <v>0</v>
      </c>
      <c r="I7" s="80"/>
    </row>
    <row r="8" spans="1:9">
      <c r="A8" s="74">
        <v>40851</v>
      </c>
      <c r="B8" s="74"/>
      <c r="C8" s="74"/>
      <c r="D8" s="75"/>
      <c r="E8" s="76">
        <f t="shared" si="0"/>
        <v>0</v>
      </c>
      <c r="F8" s="77">
        <f>cachet!T9+ROA!N9+Tetart!F9+LHEA!E9+tack!F9+epices!R9+sirops!H9+thes!T9+ainesse!N9+Cretolive!E9+Croutet!P9+Aimants!F9</f>
        <v>0</v>
      </c>
      <c r="G8" s="77">
        <f>cachet!U9+ROA!O9+Tetart!G9+LHEA!F9+tack!G9+epices!S9+sirops!I9+thes!U9+ainesse!O9+Cretolive!F9+Croutet!Q9+Aimants!G9</f>
        <v>0</v>
      </c>
      <c r="H8" s="75">
        <f t="shared" si="1"/>
        <v>0</v>
      </c>
      <c r="I8" s="80"/>
    </row>
    <row r="9" spans="1:9">
      <c r="A9" s="74">
        <v>40852</v>
      </c>
      <c r="B9" s="74"/>
      <c r="C9" s="74"/>
      <c r="D9" s="75"/>
      <c r="E9" s="76">
        <f t="shared" si="0"/>
        <v>0</v>
      </c>
      <c r="F9" s="77">
        <f>cachet!T10+ROA!N10+Tetart!F10+LHEA!E10+tack!F10+epices!R10+sirops!H10+thes!T10+ainesse!N10+Cretolive!E10+Croutet!P10+Aimants!F10</f>
        <v>0</v>
      </c>
      <c r="G9" s="77">
        <f>cachet!U10+ROA!O10+Tetart!G10+LHEA!F10+tack!G10+epices!S10+sirops!I10+thes!U10+ainesse!O10+Cretolive!F10+Croutet!Q10+Aimants!G10</f>
        <v>0</v>
      </c>
      <c r="H9" s="75">
        <f t="shared" si="1"/>
        <v>0</v>
      </c>
      <c r="I9" s="80"/>
    </row>
    <row r="10" spans="1:9">
      <c r="A10" s="74">
        <v>40853</v>
      </c>
      <c r="B10" s="74"/>
      <c r="C10" s="74"/>
      <c r="D10" s="75"/>
      <c r="E10" s="76">
        <f t="shared" si="0"/>
        <v>0</v>
      </c>
      <c r="F10" s="77">
        <f>cachet!T11+ROA!N11+Tetart!F11+LHEA!E11+tack!F11+epices!R11+sirops!H11+thes!T11+ainesse!N11+Cretolive!E11+Croutet!P11+Aimants!F11</f>
        <v>0</v>
      </c>
      <c r="G10" s="77">
        <f>cachet!U11+ROA!O11+Tetart!G11+LHEA!F11+tack!G11+epices!S11+sirops!I11+thes!U11+ainesse!O11+Cretolive!F11+Croutet!Q11+Aimants!G11</f>
        <v>0</v>
      </c>
      <c r="H10" s="75">
        <f t="shared" si="1"/>
        <v>0</v>
      </c>
      <c r="I10" s="80"/>
    </row>
    <row r="11" spans="1:9">
      <c r="A11" s="74">
        <v>40854</v>
      </c>
      <c r="B11" s="72" t="s">
        <v>128</v>
      </c>
      <c r="C11" s="72">
        <v>26</v>
      </c>
      <c r="D11" s="77">
        <v>8</v>
      </c>
      <c r="E11" s="89">
        <f>C11*2*0.1</f>
        <v>5.2</v>
      </c>
      <c r="F11" s="77">
        <f>cachet!T12+ROA!N12+Tetart!F12+LHEA!E12+tack!F12+epices!R12+sirops!H12+thes!T12+ainesse!N12+Cretolive!E12+Croutet!P12+Aimants!F12</f>
        <v>118.8</v>
      </c>
      <c r="G11" s="77">
        <f>cachet!U12+ROA!O12+Tetart!G12+LHEA!F12+tack!G12+epices!S12+sirops!I12+thes!U12+ainesse!O12+Cretolive!F12+Croutet!Q12+Aimants!G12</f>
        <v>66.336487619047602</v>
      </c>
      <c r="H11" s="89">
        <f t="shared" si="1"/>
        <v>53.1364876190476</v>
      </c>
      <c r="I11" s="80">
        <f t="shared" si="2"/>
        <v>0.44727683181016498</v>
      </c>
    </row>
    <row r="12" spans="1:9">
      <c r="A12" s="74">
        <v>40855</v>
      </c>
      <c r="E12" s="89">
        <f>C12*2*0.1</f>
        <v>0</v>
      </c>
      <c r="F12" s="77">
        <f>cachet!T13+ROA!N13+Tetart!F13+LHEA!E13+tack!F13+epices!R13+sirops!H13+thes!T13+ainesse!N13+Cretolive!E13+Croutet!P13+Aimants!F13</f>
        <v>0</v>
      </c>
      <c r="G12" s="77">
        <f>cachet!U13+ROA!O13+Tetart!G13+LHEA!F13+tack!G13+epices!S13+sirops!I13+thes!U13+ainesse!O13+Cretolive!F13+Croutet!Q13+Aimants!G13</f>
        <v>0</v>
      </c>
      <c r="H12" s="89">
        <f t="shared" si="1"/>
        <v>0</v>
      </c>
      <c r="I12" s="80" t="e">
        <f t="shared" si="2"/>
        <v>#DIV/0!</v>
      </c>
    </row>
    <row r="13" spans="1:9">
      <c r="A13" s="74">
        <v>40856</v>
      </c>
      <c r="B13" s="79"/>
      <c r="D13" s="77"/>
      <c r="E13" s="76">
        <f t="shared" si="0"/>
        <v>0</v>
      </c>
      <c r="F13" s="77">
        <f>cachet!T14+ROA!N14+Tetart!F14+LHEA!E14+tack!F14+epices!R14+sirops!H14+thes!T14+ainesse!N14+Cretolive!E14+Croutet!P14+Aimants!F14</f>
        <v>0</v>
      </c>
      <c r="G13" s="77">
        <f>cachet!U14+ROA!O14+Tetart!G14+LHEA!F14+tack!G14+epices!S14+sirops!I14+thes!U14+ainesse!O14+Cretolive!F14+Croutet!Q14+Aimants!G14</f>
        <v>0</v>
      </c>
      <c r="H13" s="75">
        <f t="shared" si="1"/>
        <v>0</v>
      </c>
      <c r="I13" s="80" t="e">
        <f t="shared" si="2"/>
        <v>#DIV/0!</v>
      </c>
    </row>
    <row r="14" spans="1:9">
      <c r="A14" s="74">
        <v>40857</v>
      </c>
      <c r="B14" s="79"/>
      <c r="D14" s="77"/>
      <c r="E14" s="76">
        <f>C14*2*0.1</f>
        <v>0</v>
      </c>
      <c r="F14" s="77">
        <f>cachet!T15+ROA!N15+Tetart!F15+LHEA!E15+tack!F15+epices!R15+sirops!H15+thes!T15+ainesse!N15+Cretolive!E15+Croutet!P15+Aimants!F15</f>
        <v>0</v>
      </c>
      <c r="G14" s="77">
        <f>cachet!U15+ROA!O15+Tetart!G15+LHEA!F15+tack!G15+epices!S15+sirops!I15+thes!U15+ainesse!O15+Cretolive!F15+Croutet!Q15+Aimants!G15</f>
        <v>0</v>
      </c>
      <c r="H14" s="75">
        <f t="shared" si="1"/>
        <v>0</v>
      </c>
      <c r="I14" s="80" t="e">
        <f t="shared" si="2"/>
        <v>#DIV/0!</v>
      </c>
    </row>
    <row r="15" spans="1:9">
      <c r="A15" s="74">
        <v>40858</v>
      </c>
      <c r="B15" s="74"/>
      <c r="C15" s="74"/>
      <c r="D15" s="75"/>
      <c r="E15" s="76">
        <f t="shared" si="0"/>
        <v>0</v>
      </c>
      <c r="F15" s="77">
        <f>cachet!T16+ROA!N16+Tetart!F16+LHEA!E16+tack!F16+epices!R16+sirops!H16+thes!T16+ainesse!N16+Cretolive!E16+Croutet!P16+Aimants!F16</f>
        <v>0</v>
      </c>
      <c r="G15" s="77">
        <f>cachet!U16+ROA!O16+Tetart!G16+LHEA!F16+tack!G16+epices!S16+sirops!I16+thes!U16+ainesse!O16+Cretolive!F16+Croutet!Q16+Aimants!G16</f>
        <v>0</v>
      </c>
      <c r="H15" s="75">
        <f t="shared" si="1"/>
        <v>0</v>
      </c>
      <c r="I15" s="80" t="e">
        <f t="shared" si="2"/>
        <v>#DIV/0!</v>
      </c>
    </row>
    <row r="16" spans="1:9">
      <c r="A16" s="74">
        <v>40859</v>
      </c>
      <c r="B16" s="72" t="s">
        <v>128</v>
      </c>
      <c r="C16" s="72">
        <v>26</v>
      </c>
      <c r="D16" s="89">
        <v>2.4500000000000002</v>
      </c>
      <c r="E16" s="76">
        <f t="shared" si="0"/>
        <v>5.2</v>
      </c>
      <c r="F16" s="77">
        <f>cachet!T17+ROA!N17+Tetart!F17+LHEA!E17+tack!F17+epices!R17+sirops!H17+thes!T17+ainesse!N17+Cretolive!E17+Croutet!P17+Aimants!F17</f>
        <v>76.199999999999989</v>
      </c>
      <c r="G16" s="77">
        <f>cachet!U17+ROA!O17+Tetart!G17+LHEA!F17+tack!G17+epices!S17+sirops!I17+thes!U17+ainesse!O17+Cretolive!F17+Croutet!Q17+Aimants!G17</f>
        <v>42.761011428571422</v>
      </c>
      <c r="H16" s="75">
        <f>G16-D16-E16</f>
        <v>35.111011428571416</v>
      </c>
      <c r="I16" s="80">
        <f t="shared" si="2"/>
        <v>0.46077442819647535</v>
      </c>
    </row>
    <row r="17" spans="1:9">
      <c r="A17" s="74">
        <v>40860</v>
      </c>
      <c r="B17" s="74"/>
      <c r="C17" s="74"/>
      <c r="D17" s="75"/>
      <c r="E17" s="76">
        <f t="shared" si="0"/>
        <v>0</v>
      </c>
      <c r="F17" s="77">
        <f>cachet!T18+ROA!N18+Tetart!F18+LHEA!E18+tack!F18+epices!R18+sirops!H18+thes!T18+ainesse!N18+Cretolive!E18+Croutet!P18+Aimants!F18</f>
        <v>0</v>
      </c>
      <c r="G17" s="77">
        <f>cachet!U18+ROA!O18+Tetart!G18+LHEA!F18+tack!G18+epices!S18+sirops!I18+thes!U18+ainesse!O18+Cretolive!F18+Croutet!Q18+Aimants!G18</f>
        <v>0</v>
      </c>
      <c r="H17" s="75">
        <f t="shared" si="1"/>
        <v>0</v>
      </c>
      <c r="I17" s="80" t="e">
        <f t="shared" si="2"/>
        <v>#DIV/0!</v>
      </c>
    </row>
    <row r="18" spans="1:9">
      <c r="A18" s="74">
        <v>40861</v>
      </c>
      <c r="B18" s="74"/>
      <c r="C18" s="74"/>
      <c r="D18" s="75"/>
      <c r="E18" s="76">
        <f t="shared" si="0"/>
        <v>0</v>
      </c>
      <c r="F18" s="77">
        <f>cachet!T19+ROA!N19+Tetart!F19+LHEA!E19+tack!F19+epices!R19+sirops!H19+thes!T19+ainesse!N19+Cretolive!E19+Croutet!P19+Aimants!F19</f>
        <v>0</v>
      </c>
      <c r="G18" s="77">
        <f>cachet!U19+ROA!O19+Tetart!G19+LHEA!F19+tack!G19+epices!S19+sirops!I19+thes!U19+ainesse!O19+Cretolive!F19+Croutet!Q19+Aimants!G19</f>
        <v>0</v>
      </c>
      <c r="H18" s="75">
        <f t="shared" si="1"/>
        <v>0</v>
      </c>
      <c r="I18" s="80" t="e">
        <f t="shared" si="2"/>
        <v>#DIV/0!</v>
      </c>
    </row>
    <row r="19" spans="1:9">
      <c r="A19" s="74">
        <v>40862</v>
      </c>
      <c r="B19" s="79"/>
      <c r="D19" s="75"/>
      <c r="E19" s="76">
        <f t="shared" si="0"/>
        <v>0</v>
      </c>
      <c r="F19" s="77">
        <f>cachet!T20+ROA!N20+Tetart!F20+LHEA!E20+tack!F20+epices!R20+sirops!H20+thes!T20+ainesse!N20+Cretolive!E20+Croutet!P20+Aimants!F20</f>
        <v>0</v>
      </c>
      <c r="G19" s="77">
        <f>cachet!U20+ROA!O20+Tetart!G20+LHEA!F20+tack!G20+epices!S20+sirops!I20+thes!U20+ainesse!O20+Cretolive!F20+Croutet!Q20+Aimants!G20</f>
        <v>0</v>
      </c>
      <c r="H19" s="75">
        <f t="shared" si="1"/>
        <v>0</v>
      </c>
      <c r="I19" s="80" t="e">
        <f t="shared" si="2"/>
        <v>#DIV/0!</v>
      </c>
    </row>
    <row r="20" spans="1:9">
      <c r="A20" s="74">
        <v>40863</v>
      </c>
      <c r="D20" s="75"/>
      <c r="E20" s="76">
        <f t="shared" si="0"/>
        <v>0</v>
      </c>
      <c r="F20" s="77">
        <f>cachet!T21+ROA!N21+Tetart!F21+LHEA!E21+tack!F21+epices!R21+sirops!H21+thes!T21+ainesse!N21+Cretolive!E21+Croutet!P21+Aimants!F21</f>
        <v>0</v>
      </c>
      <c r="G20" s="77">
        <f>cachet!U21+ROA!O21+Tetart!G21+LHEA!F21+tack!G21+epices!S21+sirops!I21+thes!U21+ainesse!O21+Cretolive!F21+Croutet!Q21+Aimants!G21</f>
        <v>0</v>
      </c>
      <c r="H20" s="75">
        <f t="shared" si="1"/>
        <v>0</v>
      </c>
      <c r="I20" s="80" t="e">
        <f t="shared" si="2"/>
        <v>#DIV/0!</v>
      </c>
    </row>
    <row r="21" spans="1:9">
      <c r="A21" s="74">
        <v>40864</v>
      </c>
      <c r="B21" s="79"/>
      <c r="D21" s="75"/>
      <c r="E21" s="76">
        <f t="shared" si="0"/>
        <v>0</v>
      </c>
      <c r="F21" s="77">
        <f>cachet!T22+ROA!N22+Tetart!F22+LHEA!E22+tack!F22+Miels!J22+epices!R22+sirops!H22+thes!T22+ainesse!N22+Cretolive!E22+Croutet!P22+Aimants!F22</f>
        <v>0</v>
      </c>
      <c r="G21" s="77">
        <f>cachet!U22+ROA!O22+Tetart!G22+LHEA!F22+tack!G22+Miels!K22+epices!S22+sirops!I22+thes!U22+ainesse!O22+Cretolive!F22+Croutet!Q22+Aimants!G22</f>
        <v>0</v>
      </c>
      <c r="H21" s="75">
        <f>G21-D21-E21</f>
        <v>0</v>
      </c>
      <c r="I21" s="80" t="e">
        <f>H21/F21</f>
        <v>#DIV/0!</v>
      </c>
    </row>
    <row r="22" spans="1:9">
      <c r="A22" s="74">
        <v>40865</v>
      </c>
      <c r="B22" s="74"/>
      <c r="C22" s="74"/>
      <c r="D22" s="75"/>
      <c r="E22" s="76">
        <f t="shared" si="0"/>
        <v>0</v>
      </c>
      <c r="F22" s="77">
        <f>cachet!T23+ROA!N23+Tetart!F23+LHEA!E23+tack!F23+epices!R23+sirops!H23+thes!T23+ainesse!N23+Cretolive!E23+Croutet!P23+Aimants!F23</f>
        <v>0</v>
      </c>
      <c r="G22" s="77">
        <f>cachet!U23+ROA!O23+Tetart!G23+LHEA!F23+tack!G23+epices!S23+sirops!I23+thes!U23+ainesse!O23+Cretolive!F23+Croutet!Q23+Aimants!G23</f>
        <v>0</v>
      </c>
      <c r="H22" s="75">
        <f t="shared" si="1"/>
        <v>0</v>
      </c>
      <c r="I22" s="80" t="e">
        <f t="shared" si="2"/>
        <v>#DIV/0!</v>
      </c>
    </row>
    <row r="23" spans="1:9">
      <c r="A23" s="74">
        <v>40866</v>
      </c>
      <c r="B23" s="79"/>
      <c r="C23" s="79"/>
      <c r="D23" s="75"/>
      <c r="E23" s="76">
        <f t="shared" si="0"/>
        <v>0</v>
      </c>
      <c r="F23" s="77">
        <f>cachet!T24+ROA!N24+Tetart!F24+LHEA!E24+tack!F24+epices!R24+sirops!H24+thes!T24+ainesse!N24+Cretolive!E24+Croutet!P24+Aimants!F24</f>
        <v>0</v>
      </c>
      <c r="G23" s="77">
        <f>cachet!U24+ROA!O24+Tetart!G24+LHEA!F24+tack!G24+epices!S24+sirops!I24+thes!U24+ainesse!O24+Cretolive!F24+Croutet!Q24+Aimants!G24</f>
        <v>0</v>
      </c>
      <c r="H23" s="75">
        <f>G23-D23-E23</f>
        <v>0</v>
      </c>
      <c r="I23" s="80" t="e">
        <f t="shared" si="2"/>
        <v>#DIV/0!</v>
      </c>
    </row>
    <row r="24" spans="1:9">
      <c r="A24" s="74">
        <v>40867</v>
      </c>
      <c r="C24" s="79"/>
      <c r="D24" s="75"/>
      <c r="E24" s="76">
        <f t="shared" si="0"/>
        <v>0</v>
      </c>
      <c r="F24" s="77">
        <f>cachet!T25+ROA!N25+Tetart!F25+LHEA!E25+tack!F25+epices!R25+sirops!H25+thes!T25+ainesse!N25+Cretolive!E25+Croutet!P25+Aimants!F25</f>
        <v>0</v>
      </c>
      <c r="G24" s="77">
        <f>cachet!U25+ROA!O25+Tetart!G25+LHEA!F25+tack!G25+epices!S25+sirops!I25+thes!U25+ainesse!O25+Cretolive!F25+Croutet!Q25+Aimants!G25</f>
        <v>0</v>
      </c>
      <c r="H24" s="75">
        <f t="shared" si="1"/>
        <v>0</v>
      </c>
      <c r="I24" s="80" t="e">
        <f t="shared" si="2"/>
        <v>#DIV/0!</v>
      </c>
    </row>
    <row r="25" spans="1:9">
      <c r="A25" s="74">
        <v>40868</v>
      </c>
      <c r="D25" s="75"/>
      <c r="E25" s="76">
        <f t="shared" si="0"/>
        <v>0</v>
      </c>
      <c r="F25" s="77">
        <f>cachet!T26+ROA!N26+Tetart!F26+LHEA!E26+tack!F26+epices!R26+sirops!H26+thes!T26+ainesse!N26+Cretolive!E26+Croutet!P26+Aimants!F26</f>
        <v>0</v>
      </c>
      <c r="G25" s="77">
        <f>cachet!U26+ROA!O26+Tetart!G26+LHEA!F26+tack!G26+epices!S26+sirops!I26+thes!U26+ainesse!O26+Cretolive!F26+Croutet!Q26+Aimants!G26</f>
        <v>0</v>
      </c>
      <c r="H25" s="75">
        <f t="shared" si="1"/>
        <v>0</v>
      </c>
      <c r="I25" s="80" t="e">
        <f t="shared" si="2"/>
        <v>#DIV/0!</v>
      </c>
    </row>
    <row r="26" spans="1:9">
      <c r="A26" s="74">
        <v>40869</v>
      </c>
      <c r="B26" s="79"/>
      <c r="D26" s="75"/>
      <c r="E26" s="76">
        <f t="shared" si="0"/>
        <v>0</v>
      </c>
      <c r="F26" s="77">
        <f>cachet!T27+ROA!N27+Tetart!F27+LHEA!E27+tack!F27+epices!R27+sirops!H27+thes!T27+ainesse!N27+Cretolive!E27+Croutet!P27+Aimants!F27</f>
        <v>0</v>
      </c>
      <c r="G26" s="77">
        <f>cachet!U27+ROA!O27+Tetart!G27+LHEA!F27+tack!G27+epices!S27+sirops!I27+thes!U27+ainesse!O27+Cretolive!F27+Croutet!Q27+Aimants!G27</f>
        <v>0</v>
      </c>
      <c r="H26" s="75">
        <f t="shared" si="1"/>
        <v>0</v>
      </c>
      <c r="I26" s="80" t="e">
        <f t="shared" si="2"/>
        <v>#DIV/0!</v>
      </c>
    </row>
    <row r="27" spans="1:9">
      <c r="A27" s="74">
        <v>40870</v>
      </c>
      <c r="B27" s="79"/>
      <c r="D27" s="75"/>
      <c r="E27" s="76">
        <f t="shared" si="0"/>
        <v>0</v>
      </c>
      <c r="F27" s="77">
        <f>cachet!T28+ROA!N28+Tetart!F28+LHEA!E28+tack!F28+epices!R28+sirops!H28+thes!T28+ainesse!N28+Cretolive!E28+Croutet!P28+Aimants!F28</f>
        <v>0</v>
      </c>
      <c r="G27" s="77">
        <f>cachet!U28+ROA!O28+Tetart!G28+LHEA!F28+tack!G28+epices!S28+sirops!I28+thes!U28+ainesse!O28+Cretolive!F28+Croutet!Q28+Aimants!G28</f>
        <v>0</v>
      </c>
      <c r="H27" s="75">
        <f t="shared" si="1"/>
        <v>0</v>
      </c>
      <c r="I27" s="80" t="e">
        <f t="shared" si="2"/>
        <v>#DIV/0!</v>
      </c>
    </row>
    <row r="28" spans="1:9">
      <c r="A28" s="74">
        <v>40871</v>
      </c>
      <c r="B28" s="79"/>
      <c r="D28" s="75"/>
      <c r="E28" s="76">
        <f t="shared" si="0"/>
        <v>0</v>
      </c>
      <c r="F28" s="77">
        <f>cachet!T29+ROA!N29+Tetart!F29+LHEA!E29+tack!F29+epices!R29+sirops!H29+thes!T29+ainesse!N29+Cretolive!E29+Croutet!P29+Aimants!F29</f>
        <v>58.8</v>
      </c>
      <c r="G28" s="77">
        <f>cachet!U29+ROA!O29+Tetart!G29+LHEA!F29+tack!G29+epices!S29+sirops!I29+thes!U29+ainesse!O29+Cretolive!F29+Croutet!Q29+Aimants!G29</f>
        <v>35.521533333333331</v>
      </c>
      <c r="H28" s="75">
        <f t="shared" si="1"/>
        <v>35.521533333333331</v>
      </c>
      <c r="I28" s="80">
        <f t="shared" si="2"/>
        <v>0.60410770975056682</v>
      </c>
    </row>
    <row r="29" spans="1:9">
      <c r="A29" s="74">
        <v>40872</v>
      </c>
      <c r="B29" s="74"/>
      <c r="C29" s="74"/>
      <c r="D29" s="75"/>
      <c r="E29" s="76">
        <f t="shared" si="0"/>
        <v>0</v>
      </c>
      <c r="F29" s="77">
        <f>cachet!T30+ROA!N30+Tetart!F30+LHEA!E30+tack!F30+epices!R30+sirops!H30+thes!T30+ainesse!N30+Cretolive!E30+Croutet!P30+Aimants!F30</f>
        <v>41.7</v>
      </c>
      <c r="G29" s="77">
        <f>cachet!U30+ROA!O30+Tetart!G30+LHEA!F30+tack!G30+epices!S30+sirops!I30+thes!U30+ainesse!O30+Cretolive!F30+Croutet!Q30+Aimants!G30</f>
        <v>20.344999999999995</v>
      </c>
      <c r="H29" s="75">
        <f t="shared" si="1"/>
        <v>20.344999999999995</v>
      </c>
      <c r="I29" s="80">
        <f t="shared" si="2"/>
        <v>0.48788968824940032</v>
      </c>
    </row>
    <row r="30" spans="1:9">
      <c r="A30" s="74">
        <v>40873</v>
      </c>
      <c r="B30" s="79"/>
      <c r="C30" s="79"/>
      <c r="D30" s="75"/>
      <c r="E30" s="76">
        <f t="shared" si="0"/>
        <v>0</v>
      </c>
      <c r="F30" s="77">
        <f>cachet!T31+ROA!N31+Tetart!F31+LHEA!E31+tack!F31+epices!R31+sirops!H31+thes!T31+ainesse!N31+Cretolive!E31+Croutet!P31+Aimants!F31</f>
        <v>0</v>
      </c>
      <c r="G30" s="77">
        <f>cachet!U31+ROA!O31+Tetart!G31+LHEA!F31+tack!G31+epices!S31+sirops!I31+thes!U31+ainesse!O31+Cretolive!F31+Croutet!Q31+Aimants!G31</f>
        <v>0</v>
      </c>
      <c r="H30" s="75">
        <f t="shared" si="1"/>
        <v>0</v>
      </c>
      <c r="I30" s="80" t="e">
        <f t="shared" si="2"/>
        <v>#DIV/0!</v>
      </c>
    </row>
    <row r="31" spans="1:9">
      <c r="A31" s="74">
        <v>40874</v>
      </c>
      <c r="C31" s="79"/>
      <c r="D31" s="75"/>
      <c r="E31" s="76">
        <f t="shared" si="0"/>
        <v>0</v>
      </c>
      <c r="F31" s="77">
        <f>cachet!T32+ROA!N32+Tetart!F32+LHEA!E32+tack!F32+epices!R32+sirops!H32+infuseurs!J32+thes!T32+ainesse!N32+Cretolive!E32+Croutet!P32+Aimants!F32</f>
        <v>60.599999999999994</v>
      </c>
      <c r="G31" s="77">
        <f>cachet!U32+ROA!O32+Tetart!G32+LHEA!F32+tack!G32+epices!S32+sirops!I32+infuseurs!K32+thes!U32+ainesse!O32+Cretolive!F32+Croutet!Q32+Aimants!G32</f>
        <v>44.429200000000002</v>
      </c>
      <c r="H31" s="75">
        <f>G31-D31-E31</f>
        <v>44.429200000000002</v>
      </c>
      <c r="I31" s="80">
        <f t="shared" si="2"/>
        <v>0.73315511551155121</v>
      </c>
    </row>
    <row r="32" spans="1:9">
      <c r="A32" s="74">
        <v>40875</v>
      </c>
      <c r="D32" s="75"/>
      <c r="E32" s="76">
        <f t="shared" si="0"/>
        <v>0</v>
      </c>
      <c r="F32" s="77">
        <f>cachet!T33+ROA!N33+Tetart!F33+LHEA!E33+tack!F33+epices!R33+sirops!H33+thes!T33+ainesse!N33+Cretolive!E33+Croutet!P33+Aimants!F33</f>
        <v>92.1</v>
      </c>
      <c r="G32" s="77">
        <f>cachet!U33+ROA!O33+Tetart!G33+LHEA!F33+tack!G33+epices!S33+sirops!I33+thes!U33+ainesse!O33+Cretolive!F33+Croutet!Q33+Aimants!G33</f>
        <v>62.837599999999995</v>
      </c>
      <c r="H32" s="75">
        <f t="shared" si="1"/>
        <v>62.837599999999995</v>
      </c>
      <c r="I32" s="80">
        <f t="shared" si="2"/>
        <v>0.68227578718783932</v>
      </c>
    </row>
    <row r="33" spans="1:9">
      <c r="A33" s="74">
        <v>40876</v>
      </c>
      <c r="B33" s="79"/>
      <c r="D33" s="75"/>
      <c r="E33" s="76">
        <f t="shared" si="0"/>
        <v>0</v>
      </c>
      <c r="F33" s="77">
        <f>cachet!T34+ROA!N34+Tetart!F34+LHEA!E34+tack!F34+epices!R34+sirops!H34+thes!T34+ainesse!N34+Cretolive!E34+Croutet!P34+Aimants!F34</f>
        <v>0</v>
      </c>
      <c r="G33" s="77">
        <f>cachet!U34+ROA!O34+Tetart!G34+LHEA!F34+tack!G34+epices!S34+sirops!I34+thes!U34+ainesse!O34+Cretolive!F34+Croutet!Q34+Aimants!G34</f>
        <v>0</v>
      </c>
      <c r="H33" s="75">
        <f t="shared" si="1"/>
        <v>0</v>
      </c>
      <c r="I33" s="80" t="e">
        <f t="shared" si="2"/>
        <v>#DIV/0!</v>
      </c>
    </row>
    <row r="34" spans="1:9">
      <c r="A34" s="74"/>
      <c r="B34" s="79"/>
      <c r="D34" s="75"/>
      <c r="E34" s="76">
        <f t="shared" si="0"/>
        <v>0</v>
      </c>
      <c r="F34" s="77">
        <f>cachet!T35+ROA!N35+Tetart!F35+LHEA!E35+tack!F35+epices!R35+sirops!H35+thes!T35+ainesse!N35+Cretolive!E35+Croutet!P35+Aimants!F35</f>
        <v>0</v>
      </c>
      <c r="G34" s="77">
        <f>cachet!U35+ROA!O35+Tetart!G35+LHEA!F35+tack!G35+epices!S35+sirops!I35+thes!U35+ainesse!O35+Cretolive!F35+Croutet!Q35+Aimants!G35</f>
        <v>0</v>
      </c>
      <c r="H34" s="75">
        <f>G34-D34-E34</f>
        <v>0</v>
      </c>
      <c r="I34" s="80" t="e">
        <f t="shared" si="2"/>
        <v>#DIV/0!</v>
      </c>
    </row>
    <row r="35" spans="1:9">
      <c r="B35" s="72" t="s">
        <v>229</v>
      </c>
      <c r="E35" s="76"/>
      <c r="F35" s="77"/>
      <c r="G35" s="77"/>
      <c r="H35" s="77">
        <v>-24</v>
      </c>
    </row>
    <row r="37" spans="1:9">
      <c r="D37" s="89">
        <f>SUM(D4:D21)</f>
        <v>10.45</v>
      </c>
      <c r="E37" s="77">
        <f>SUM(E4:E34)</f>
        <v>10.4</v>
      </c>
      <c r="F37" s="77">
        <f>SUM(F4:F36)</f>
        <v>448.20000000000005</v>
      </c>
      <c r="G37" s="77">
        <f>SUM(G4:G36)</f>
        <v>272.23083238095234</v>
      </c>
      <c r="H37" s="75">
        <f>SUM(H4:H34)+H35</f>
        <v>227.38083238095237</v>
      </c>
    </row>
    <row r="38" spans="1:9">
      <c r="F38" s="89">
        <f>F37/11</f>
        <v>40.74545454545455</v>
      </c>
      <c r="G38" s="89">
        <f>G37/11</f>
        <v>24.748257489177487</v>
      </c>
      <c r="H38" s="89">
        <f>H37/11</f>
        <v>20.670984761904762</v>
      </c>
    </row>
    <row r="39" spans="1:9">
      <c r="G39" s="78">
        <f>G37/F37</f>
        <v>0.60738695310341884</v>
      </c>
      <c r="H39" s="80">
        <f>H37/F37</f>
        <v>0.50732001869913512</v>
      </c>
    </row>
  </sheetData>
  <sheetCalcPr fullCalcOnLoad="1"/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V38"/>
  <sheetViews>
    <sheetView zoomScale="125" workbookViewId="0">
      <pane xSplit="2" ySplit="4" topLeftCell="D30" activePane="bottomRight" state="frozen"/>
      <selection pane="topRight" activeCell="C1" sqref="C1"/>
      <selection pane="bottomLeft" activeCell="A5" sqref="A5"/>
      <selection pane="bottomRight" activeCell="K30" sqref="K30"/>
    </sheetView>
  </sheetViews>
  <sheetFormatPr baseColWidth="10" defaultRowHeight="13"/>
  <cols>
    <col min="1" max="1" width="19.5703125" customWidth="1"/>
    <col min="2" max="2" width="6.42578125" customWidth="1"/>
  </cols>
  <sheetData>
    <row r="1" spans="1:22" ht="55">
      <c r="A1" s="101" t="s">
        <v>68</v>
      </c>
      <c r="B1" s="21" t="s">
        <v>177</v>
      </c>
      <c r="C1" s="40" t="s">
        <v>11</v>
      </c>
      <c r="D1" s="40" t="s">
        <v>12</v>
      </c>
      <c r="E1" s="40" t="s">
        <v>153</v>
      </c>
      <c r="F1" s="40" t="s">
        <v>154</v>
      </c>
      <c r="G1" s="40" t="s">
        <v>155</v>
      </c>
      <c r="H1" s="40" t="s">
        <v>39</v>
      </c>
      <c r="I1" s="40" t="s">
        <v>205</v>
      </c>
      <c r="J1" s="40" t="s">
        <v>206</v>
      </c>
      <c r="K1" s="40" t="s">
        <v>116</v>
      </c>
      <c r="L1" s="40" t="s">
        <v>40</v>
      </c>
      <c r="M1" s="40" t="s">
        <v>117</v>
      </c>
      <c r="N1" s="40" t="s">
        <v>118</v>
      </c>
      <c r="O1" s="40" t="s">
        <v>7</v>
      </c>
      <c r="P1" s="40" t="s">
        <v>8</v>
      </c>
      <c r="Q1" s="40" t="s">
        <v>9</v>
      </c>
      <c r="R1" s="40" t="s">
        <v>10</v>
      </c>
    </row>
    <row r="2" spans="1:22" s="34" customFormat="1" ht="29" customHeight="1">
      <c r="A2" s="35"/>
      <c r="B2" s="35"/>
      <c r="C2" s="36">
        <v>2.2999999999999998</v>
      </c>
      <c r="D2" s="33">
        <v>2.2999999999999998</v>
      </c>
      <c r="E2" s="33">
        <v>2.2999999999999998</v>
      </c>
      <c r="F2" s="33">
        <v>2.2999999999999998</v>
      </c>
      <c r="G2" s="33">
        <v>2.2999999999999998</v>
      </c>
      <c r="H2" s="33">
        <v>2.2999999999999998</v>
      </c>
      <c r="I2" s="33">
        <v>2.2999999999999998</v>
      </c>
      <c r="J2" s="33">
        <v>2.2999999999999998</v>
      </c>
      <c r="K2" s="33">
        <v>2.2999999999999998</v>
      </c>
      <c r="L2" s="33">
        <v>2.2999999999999998</v>
      </c>
      <c r="M2" s="33">
        <v>2.5</v>
      </c>
      <c r="N2" s="33">
        <v>2.5</v>
      </c>
      <c r="O2" s="33">
        <v>2.5</v>
      </c>
      <c r="P2" s="33">
        <v>2.5</v>
      </c>
      <c r="Q2" s="33">
        <v>3</v>
      </c>
      <c r="R2" s="33">
        <v>3</v>
      </c>
    </row>
    <row r="3" spans="1:22" s="34" customFormat="1" ht="29" customHeight="1">
      <c r="A3" s="35"/>
      <c r="B3" s="35"/>
      <c r="C3" s="27">
        <f>Sheet1!$C$4</f>
        <v>0.46999999999999981</v>
      </c>
      <c r="D3" s="27">
        <f>Sheet1!$C$5</f>
        <v>0.4746086956521739</v>
      </c>
      <c r="E3" s="27">
        <f>Sheet1!$C$6</f>
        <v>0.52991304347826074</v>
      </c>
      <c r="F3" s="27">
        <f>Sheet1!$C$7</f>
        <v>0.50226086956521732</v>
      </c>
      <c r="G3" s="27">
        <f>Sheet1!$C$9</f>
        <v>0.48843478260869555</v>
      </c>
      <c r="H3" s="27">
        <f>Sheet1!$C$10</f>
        <v>0.50226086956521732</v>
      </c>
      <c r="I3" s="27">
        <f>Sheet1!$C$11</f>
        <v>0.53452173913043477</v>
      </c>
      <c r="J3" s="27">
        <f>Sheet1!$C$12</f>
        <v>0.5621739130434783</v>
      </c>
      <c r="K3" s="27">
        <f>Sheet1!$C$13</f>
        <v>0.57599999999999996</v>
      </c>
      <c r="L3" s="27">
        <f>Sheet1!$C$14</f>
        <v>0.52530434782608693</v>
      </c>
      <c r="M3" s="27">
        <f>Sheet1!$C$16</f>
        <v>0.47423999999999999</v>
      </c>
      <c r="N3" s="27">
        <f>Sheet1!$C$17</f>
        <v>0.44879999999999998</v>
      </c>
      <c r="O3" s="27">
        <f>Sheet1!$C$18</f>
        <v>0.5208799999999999</v>
      </c>
      <c r="P3" s="27">
        <f>Sheet1!$C$19</f>
        <v>0.55479999999999996</v>
      </c>
      <c r="Q3" s="27">
        <f>Sheet1!$C$20</f>
        <v>0.51946666666666663</v>
      </c>
      <c r="R3" s="27">
        <f>Sheet1!$C$21</f>
        <v>0.52299999999999991</v>
      </c>
      <c r="S3" s="27"/>
      <c r="T3" s="27"/>
      <c r="U3" s="27"/>
    </row>
    <row r="5" spans="1:22">
      <c r="A5" s="94">
        <v>40847</v>
      </c>
      <c r="S5">
        <f>SUM(C5:R5)</f>
        <v>0</v>
      </c>
      <c r="T5" s="42">
        <f>-((C$2*C5)+(D$2*D5)+(E$2*E5)+(F$2*F5)+(G$2*G5)+(H$2*H5)+(I$2*I5)+(J$2*J5)+(K$2*K5)+(L$2*L5)+(M$2*M5)+(N$2*N5)+(O$2*O5)+(P$2*P5)+(Q$2*Q5)+(R$2*R5))</f>
        <v>0</v>
      </c>
      <c r="U5" s="45">
        <f>-((C$2*C$3*C5)+(D$2*D$3*D5)+(E$2*E$3*E5)+(F$2*F$3*F5)+(G$2*G$3*G5)+(H$2*H$3*H5)+(I$2*I$3*I5)+(J$2*J$3*J5)+(K$2*K$3*K5)+(L$2*L$3*L5)+(M$2*M$3*M5)+(N$2*N$3*N5)+(O$2*O$3*O5)+(P$2*P$3*P5)+(Q$2*Q$3*Q5)+(R$2*R$3*R5))</f>
        <v>0</v>
      </c>
      <c r="V5" s="87" t="e">
        <f>U5/T5</f>
        <v>#DIV/0!</v>
      </c>
    </row>
    <row r="6" spans="1:22">
      <c r="A6" s="94">
        <v>40848</v>
      </c>
      <c r="S6">
        <f t="shared" ref="S6:S34" si="0">SUM(C6:R6)</f>
        <v>0</v>
      </c>
      <c r="T6" s="42">
        <f t="shared" ref="T6:T34" si="1">-((C$2*C6)+(D$2*D6)+(E$2*E6)+(F$2*F6)+(G$2*G6)+(H$2*H6)+(I$2*I6)+(J$2*J6)+(K$2*K6)+(L$2*L6)+(M$2*M6)+(N$2*N6)+(O$2*O6)+(P$2*P6)+(Q$2*Q6)+(R$2*R6))</f>
        <v>0</v>
      </c>
      <c r="U6" s="66">
        <f t="shared" ref="U6:U34" si="2">-((C$2*C$3*C6)+(D$2*D$3*D6)+(E$2*E$3*E6)+(F$2*F$3*F6)+(G$2*G$3*G6)+(H$2*H$3*H6)+(I$2*I$3*I6)+(J$2*J$3*J6)+(K$2*K$3*K6)+(L$2*L$3*L6)+(M$2*M$3*M6)+(N$2*N$3*N6)+(O$2*O$3*O6)+(P$2*P$3*P6)+(Q$2*Q$3*Q6)+(R$2*R$3*R6))</f>
        <v>0</v>
      </c>
      <c r="V6" s="87" t="e">
        <f t="shared" ref="V6:V34" si="3">U6/T6</f>
        <v>#DIV/0!</v>
      </c>
    </row>
    <row r="7" spans="1:22">
      <c r="A7" s="94">
        <v>40849</v>
      </c>
      <c r="S7">
        <f t="shared" si="0"/>
        <v>0</v>
      </c>
      <c r="T7" s="42">
        <f t="shared" si="1"/>
        <v>0</v>
      </c>
      <c r="U7" s="66">
        <f t="shared" si="2"/>
        <v>0</v>
      </c>
      <c r="V7" s="87" t="e">
        <f t="shared" si="3"/>
        <v>#DIV/0!</v>
      </c>
    </row>
    <row r="8" spans="1:22">
      <c r="A8" s="94">
        <v>40850</v>
      </c>
      <c r="S8">
        <f t="shared" si="0"/>
        <v>0</v>
      </c>
      <c r="T8" s="42">
        <f t="shared" si="1"/>
        <v>0</v>
      </c>
      <c r="U8" s="66">
        <f t="shared" si="2"/>
        <v>0</v>
      </c>
      <c r="V8" s="87" t="e">
        <f t="shared" si="3"/>
        <v>#DIV/0!</v>
      </c>
    </row>
    <row r="9" spans="1:22">
      <c r="A9" s="94">
        <v>40851</v>
      </c>
      <c r="S9">
        <f t="shared" si="0"/>
        <v>0</v>
      </c>
      <c r="T9" s="42">
        <f t="shared" si="1"/>
        <v>0</v>
      </c>
      <c r="U9" s="66">
        <f t="shared" si="2"/>
        <v>0</v>
      </c>
      <c r="V9" s="87" t="e">
        <f t="shared" si="3"/>
        <v>#DIV/0!</v>
      </c>
    </row>
    <row r="10" spans="1:22">
      <c r="A10" s="94">
        <v>40852</v>
      </c>
      <c r="S10">
        <f t="shared" si="0"/>
        <v>0</v>
      </c>
      <c r="T10" s="42">
        <f t="shared" si="1"/>
        <v>0</v>
      </c>
      <c r="U10" s="66">
        <f t="shared" si="2"/>
        <v>0</v>
      </c>
      <c r="V10" s="87" t="e">
        <f t="shared" si="3"/>
        <v>#DIV/0!</v>
      </c>
    </row>
    <row r="11" spans="1:22">
      <c r="A11" s="94">
        <v>40853</v>
      </c>
      <c r="S11">
        <f t="shared" si="0"/>
        <v>0</v>
      </c>
      <c r="T11" s="42">
        <f t="shared" si="1"/>
        <v>0</v>
      </c>
      <c r="U11" s="66">
        <f t="shared" si="2"/>
        <v>0</v>
      </c>
      <c r="V11" s="87" t="e">
        <f t="shared" si="3"/>
        <v>#DIV/0!</v>
      </c>
    </row>
    <row r="12" spans="1:22">
      <c r="A12" s="94">
        <v>40854</v>
      </c>
      <c r="C12">
        <v>-2</v>
      </c>
      <c r="D12">
        <v>-2</v>
      </c>
      <c r="E12">
        <v>-1</v>
      </c>
      <c r="G12">
        <v>-3</v>
      </c>
      <c r="H12">
        <v>-2</v>
      </c>
      <c r="I12">
        <v>-1</v>
      </c>
      <c r="J12">
        <v>-2</v>
      </c>
      <c r="K12">
        <v>-1</v>
      </c>
      <c r="L12">
        <v>-1</v>
      </c>
      <c r="M12">
        <v>-1</v>
      </c>
      <c r="N12">
        <v>-2</v>
      </c>
      <c r="O12">
        <v>-1</v>
      </c>
      <c r="P12">
        <v>-2</v>
      </c>
      <c r="R12">
        <v>-5</v>
      </c>
      <c r="S12">
        <f t="shared" si="0"/>
        <v>-26</v>
      </c>
      <c r="T12" s="42">
        <f t="shared" si="1"/>
        <v>64.5</v>
      </c>
      <c r="U12" s="66">
        <f t="shared" si="2"/>
        <v>32.943799999999996</v>
      </c>
      <c r="V12" s="87">
        <f t="shared" si="3"/>
        <v>0.51075658914728672</v>
      </c>
    </row>
    <row r="13" spans="1:22">
      <c r="A13" s="94">
        <v>40855</v>
      </c>
      <c r="S13">
        <f t="shared" si="0"/>
        <v>0</v>
      </c>
      <c r="T13" s="42">
        <f t="shared" si="1"/>
        <v>0</v>
      </c>
      <c r="U13" s="66">
        <f t="shared" si="2"/>
        <v>0</v>
      </c>
      <c r="V13" s="87" t="e">
        <f t="shared" si="3"/>
        <v>#DIV/0!</v>
      </c>
    </row>
    <row r="14" spans="1:22">
      <c r="A14" s="94">
        <v>40856</v>
      </c>
      <c r="S14">
        <f t="shared" si="0"/>
        <v>0</v>
      </c>
      <c r="T14" s="42">
        <f t="shared" si="1"/>
        <v>0</v>
      </c>
      <c r="U14" s="66">
        <f t="shared" si="2"/>
        <v>0</v>
      </c>
      <c r="V14" s="87" t="e">
        <f t="shared" si="3"/>
        <v>#DIV/0!</v>
      </c>
    </row>
    <row r="15" spans="1:22">
      <c r="A15" s="94">
        <v>40857</v>
      </c>
      <c r="S15">
        <f t="shared" si="0"/>
        <v>0</v>
      </c>
      <c r="T15" s="42">
        <f t="shared" si="1"/>
        <v>0</v>
      </c>
      <c r="U15" s="66">
        <f t="shared" si="2"/>
        <v>0</v>
      </c>
      <c r="V15" s="87" t="e">
        <f t="shared" si="3"/>
        <v>#DIV/0!</v>
      </c>
    </row>
    <row r="16" spans="1:22">
      <c r="A16" s="94">
        <v>40858</v>
      </c>
      <c r="S16">
        <f t="shared" si="0"/>
        <v>0</v>
      </c>
      <c r="T16" s="42">
        <f t="shared" si="1"/>
        <v>0</v>
      </c>
      <c r="U16" s="66">
        <f t="shared" si="2"/>
        <v>0</v>
      </c>
      <c r="V16" s="87" t="e">
        <f t="shared" si="3"/>
        <v>#DIV/0!</v>
      </c>
    </row>
    <row r="17" spans="1:22">
      <c r="A17" s="94">
        <v>40859</v>
      </c>
      <c r="C17">
        <v>-1</v>
      </c>
      <c r="D17">
        <v>-2</v>
      </c>
      <c r="E17">
        <v>-1</v>
      </c>
      <c r="H17">
        <v>-2</v>
      </c>
      <c r="I17">
        <v>-1</v>
      </c>
      <c r="M17">
        <v>-1</v>
      </c>
      <c r="N17">
        <v>-2</v>
      </c>
      <c r="P17">
        <v>-4</v>
      </c>
      <c r="S17">
        <f t="shared" si="0"/>
        <v>-14</v>
      </c>
      <c r="T17" s="42">
        <f t="shared" si="1"/>
        <v>33.599999999999994</v>
      </c>
      <c r="U17" s="66">
        <f t="shared" si="2"/>
        <v>17.000399999999999</v>
      </c>
      <c r="V17" s="87">
        <f t="shared" si="3"/>
        <v>0.50596428571428576</v>
      </c>
    </row>
    <row r="18" spans="1:22">
      <c r="A18" s="94">
        <v>40860</v>
      </c>
      <c r="S18">
        <f t="shared" si="0"/>
        <v>0</v>
      </c>
      <c r="T18" s="42">
        <f t="shared" si="1"/>
        <v>0</v>
      </c>
      <c r="U18" s="66">
        <f t="shared" si="2"/>
        <v>0</v>
      </c>
      <c r="V18" s="87" t="e">
        <f t="shared" si="3"/>
        <v>#DIV/0!</v>
      </c>
    </row>
    <row r="19" spans="1:22">
      <c r="A19" s="94">
        <v>40861</v>
      </c>
      <c r="S19">
        <f t="shared" si="0"/>
        <v>0</v>
      </c>
      <c r="T19" s="42">
        <f t="shared" si="1"/>
        <v>0</v>
      </c>
      <c r="U19" s="66">
        <f t="shared" si="2"/>
        <v>0</v>
      </c>
      <c r="V19" s="87" t="e">
        <f t="shared" si="3"/>
        <v>#DIV/0!</v>
      </c>
    </row>
    <row r="20" spans="1:22">
      <c r="A20" s="94">
        <v>40862</v>
      </c>
      <c r="S20">
        <f t="shared" si="0"/>
        <v>0</v>
      </c>
      <c r="T20" s="42">
        <f t="shared" si="1"/>
        <v>0</v>
      </c>
      <c r="U20" s="66">
        <f t="shared" si="2"/>
        <v>0</v>
      </c>
      <c r="V20" s="87" t="e">
        <f t="shared" si="3"/>
        <v>#DIV/0!</v>
      </c>
    </row>
    <row r="21" spans="1:22">
      <c r="A21" s="94">
        <v>40863</v>
      </c>
      <c r="S21">
        <f t="shared" si="0"/>
        <v>0</v>
      </c>
      <c r="T21" s="42">
        <f t="shared" si="1"/>
        <v>0</v>
      </c>
      <c r="U21" s="66">
        <f t="shared" si="2"/>
        <v>0</v>
      </c>
      <c r="V21" s="87" t="e">
        <f t="shared" si="3"/>
        <v>#DIV/0!</v>
      </c>
    </row>
    <row r="22" spans="1:22">
      <c r="A22" s="94">
        <v>40864</v>
      </c>
      <c r="S22">
        <f t="shared" si="0"/>
        <v>0</v>
      </c>
      <c r="T22" s="42">
        <f t="shared" si="1"/>
        <v>0</v>
      </c>
      <c r="U22" s="66">
        <f t="shared" si="2"/>
        <v>0</v>
      </c>
      <c r="V22" s="87" t="e">
        <f t="shared" si="3"/>
        <v>#DIV/0!</v>
      </c>
    </row>
    <row r="23" spans="1:22">
      <c r="A23" s="94">
        <v>40865</v>
      </c>
      <c r="S23">
        <f t="shared" si="0"/>
        <v>0</v>
      </c>
      <c r="T23" s="42">
        <f t="shared" si="1"/>
        <v>0</v>
      </c>
      <c r="U23" s="66">
        <f t="shared" si="2"/>
        <v>0</v>
      </c>
      <c r="V23" s="87" t="e">
        <f t="shared" si="3"/>
        <v>#DIV/0!</v>
      </c>
    </row>
    <row r="24" spans="1:22">
      <c r="A24" s="94">
        <v>40866</v>
      </c>
      <c r="S24">
        <f t="shared" si="0"/>
        <v>0</v>
      </c>
      <c r="T24" s="42">
        <f t="shared" si="1"/>
        <v>0</v>
      </c>
      <c r="U24" s="66">
        <f t="shared" si="2"/>
        <v>0</v>
      </c>
      <c r="V24" s="87" t="e">
        <f t="shared" si="3"/>
        <v>#DIV/0!</v>
      </c>
    </row>
    <row r="25" spans="1:22">
      <c r="A25" s="94">
        <v>40867</v>
      </c>
      <c r="S25">
        <f t="shared" si="0"/>
        <v>0</v>
      </c>
      <c r="T25" s="42">
        <f t="shared" si="1"/>
        <v>0</v>
      </c>
      <c r="U25" s="66">
        <f t="shared" si="2"/>
        <v>0</v>
      </c>
      <c r="V25" s="87" t="e">
        <f t="shared" si="3"/>
        <v>#DIV/0!</v>
      </c>
    </row>
    <row r="26" spans="1:22">
      <c r="A26" s="94">
        <v>40868</v>
      </c>
      <c r="S26">
        <f t="shared" si="0"/>
        <v>0</v>
      </c>
      <c r="T26" s="42">
        <f t="shared" si="1"/>
        <v>0</v>
      </c>
      <c r="U26" s="66">
        <f t="shared" si="2"/>
        <v>0</v>
      </c>
      <c r="V26" s="87" t="e">
        <f t="shared" si="3"/>
        <v>#DIV/0!</v>
      </c>
    </row>
    <row r="27" spans="1:22">
      <c r="A27" s="94">
        <v>40869</v>
      </c>
      <c r="S27">
        <f t="shared" si="0"/>
        <v>0</v>
      </c>
      <c r="T27" s="42">
        <f t="shared" si="1"/>
        <v>0</v>
      </c>
      <c r="U27" s="66">
        <f t="shared" si="2"/>
        <v>0</v>
      </c>
      <c r="V27" s="87" t="e">
        <f t="shared" si="3"/>
        <v>#DIV/0!</v>
      </c>
    </row>
    <row r="28" spans="1:22">
      <c r="A28" s="94">
        <v>40870</v>
      </c>
      <c r="S28">
        <f t="shared" si="0"/>
        <v>0</v>
      </c>
      <c r="T28" s="42">
        <f t="shared" si="1"/>
        <v>0</v>
      </c>
      <c r="U28" s="66">
        <f t="shared" si="2"/>
        <v>0</v>
      </c>
      <c r="V28" s="87" t="e">
        <f t="shared" si="3"/>
        <v>#DIV/0!</v>
      </c>
    </row>
    <row r="29" spans="1:22">
      <c r="A29" s="94">
        <v>40871</v>
      </c>
      <c r="E29">
        <v>-1</v>
      </c>
      <c r="H29">
        <v>-2</v>
      </c>
      <c r="J29">
        <v>-1</v>
      </c>
      <c r="M29">
        <v>-3</v>
      </c>
      <c r="N29">
        <v>-1</v>
      </c>
      <c r="P29">
        <v>-2</v>
      </c>
      <c r="S29">
        <f t="shared" si="0"/>
        <v>-10</v>
      </c>
      <c r="T29" s="42">
        <f t="shared" si="1"/>
        <v>24.2</v>
      </c>
      <c r="U29" s="66">
        <f t="shared" si="2"/>
        <v>12.274999999999999</v>
      </c>
      <c r="V29" s="87">
        <f t="shared" si="3"/>
        <v>0.50723140495867769</v>
      </c>
    </row>
    <row r="30" spans="1:22">
      <c r="A30" s="94">
        <v>40872</v>
      </c>
      <c r="D30">
        <v>-3</v>
      </c>
      <c r="E30">
        <v>-2</v>
      </c>
      <c r="I30">
        <v>-3</v>
      </c>
      <c r="J30">
        <v>-1</v>
      </c>
      <c r="M30">
        <v>-4</v>
      </c>
      <c r="N30">
        <v>-1</v>
      </c>
      <c r="P30">
        <v>-1</v>
      </c>
      <c r="S30">
        <f t="shared" si="0"/>
        <v>-15</v>
      </c>
      <c r="T30" s="42">
        <f t="shared" si="1"/>
        <v>35.700000000000003</v>
      </c>
      <c r="U30" s="66">
        <f t="shared" si="2"/>
        <v>17.944999999999997</v>
      </c>
      <c r="V30" s="87">
        <f t="shared" si="3"/>
        <v>0.50266106442577019</v>
      </c>
    </row>
    <row r="31" spans="1:22">
      <c r="A31" s="94">
        <v>40873</v>
      </c>
      <c r="S31">
        <f t="shared" si="0"/>
        <v>0</v>
      </c>
      <c r="T31" s="42">
        <f t="shared" si="1"/>
        <v>0</v>
      </c>
      <c r="U31" s="66">
        <f t="shared" si="2"/>
        <v>0</v>
      </c>
      <c r="V31" s="87" t="e">
        <f t="shared" si="3"/>
        <v>#DIV/0!</v>
      </c>
    </row>
    <row r="32" spans="1:22">
      <c r="A32" s="94">
        <v>40874</v>
      </c>
      <c r="C32">
        <v>-2</v>
      </c>
      <c r="F32">
        <v>-3</v>
      </c>
      <c r="H32">
        <v>-2</v>
      </c>
      <c r="I32">
        <v>-3</v>
      </c>
      <c r="N32">
        <v>-1</v>
      </c>
      <c r="S32">
        <f t="shared" si="0"/>
        <v>-11</v>
      </c>
      <c r="T32" s="42">
        <f t="shared" si="1"/>
        <v>25.5</v>
      </c>
      <c r="U32" s="66">
        <f>-((C$2*C$3*C32)+(D$2*D$3*D32)+(E$2*E$3*E32)+(F$2*F$3*F32)+(G$2*G$3*G32)+(H$2*H$3*H32)+(I$2*I$3*I32)+(J$2*J$3*J32)+(K$2*K$3*K32)+(L$2*L$3*L32)+(M$2*M$3*M32)+(N$2*N$3*N32)+(O$2*O$3*O32)+(P$2*P$3*P32)+(Q$2*Q$3*Q32)+(R$2*R$3*R32))</f>
        <v>12.748199999999997</v>
      </c>
      <c r="V32" s="87">
        <f t="shared" si="3"/>
        <v>0.49992941176470579</v>
      </c>
    </row>
    <row r="33" spans="1:22">
      <c r="A33" s="94">
        <v>40875</v>
      </c>
      <c r="C33">
        <v>-2</v>
      </c>
      <c r="D33">
        <v>-1</v>
      </c>
      <c r="E33">
        <v>-1</v>
      </c>
      <c r="F33">
        <v>-4</v>
      </c>
      <c r="H33">
        <v>-2</v>
      </c>
      <c r="I33">
        <v>-3</v>
      </c>
      <c r="L33">
        <v>-2</v>
      </c>
      <c r="M33">
        <v>-2</v>
      </c>
      <c r="N33">
        <v>-1</v>
      </c>
      <c r="S33">
        <f t="shared" si="0"/>
        <v>-18</v>
      </c>
      <c r="T33" s="42">
        <f t="shared" si="1"/>
        <v>42</v>
      </c>
      <c r="U33" s="66">
        <f t="shared" si="2"/>
        <v>21.001399999999997</v>
      </c>
      <c r="V33" s="87">
        <f t="shared" si="3"/>
        <v>0.50003333333333322</v>
      </c>
    </row>
    <row r="34" spans="1:22">
      <c r="A34" s="94">
        <v>40876</v>
      </c>
      <c r="S34">
        <f t="shared" si="0"/>
        <v>0</v>
      </c>
      <c r="T34" s="42">
        <f t="shared" si="1"/>
        <v>0</v>
      </c>
      <c r="U34" s="66">
        <f t="shared" si="2"/>
        <v>0</v>
      </c>
      <c r="V34" s="87" t="e">
        <f t="shared" si="3"/>
        <v>#DIV/0!</v>
      </c>
    </row>
    <row r="35" spans="1:22">
      <c r="A35" s="24"/>
    </row>
    <row r="36" spans="1:22">
      <c r="B36" t="s">
        <v>66</v>
      </c>
      <c r="C36">
        <f t="shared" ref="C36:R36" si="4">SUM(C4:C35)</f>
        <v>-7</v>
      </c>
      <c r="D36">
        <f t="shared" si="4"/>
        <v>-8</v>
      </c>
      <c r="E36">
        <f t="shared" si="4"/>
        <v>-6</v>
      </c>
      <c r="F36">
        <f t="shared" si="4"/>
        <v>-7</v>
      </c>
      <c r="G36">
        <f t="shared" si="4"/>
        <v>-3</v>
      </c>
      <c r="H36">
        <f t="shared" si="4"/>
        <v>-10</v>
      </c>
      <c r="I36">
        <f t="shared" si="4"/>
        <v>-11</v>
      </c>
      <c r="J36">
        <f t="shared" si="4"/>
        <v>-4</v>
      </c>
      <c r="K36">
        <f t="shared" si="4"/>
        <v>-1</v>
      </c>
      <c r="L36">
        <f t="shared" si="4"/>
        <v>-3</v>
      </c>
      <c r="M36">
        <f t="shared" si="4"/>
        <v>-11</v>
      </c>
      <c r="N36">
        <f t="shared" si="4"/>
        <v>-8</v>
      </c>
      <c r="O36">
        <f t="shared" si="4"/>
        <v>-1</v>
      </c>
      <c r="P36">
        <f t="shared" si="4"/>
        <v>-9</v>
      </c>
      <c r="Q36">
        <f t="shared" si="4"/>
        <v>0</v>
      </c>
      <c r="R36">
        <f t="shared" si="4"/>
        <v>-5</v>
      </c>
      <c r="T36" s="42">
        <f>SUM(T5:T35)</f>
        <v>225.5</v>
      </c>
      <c r="U36" s="45">
        <f>SUM(U5:U35)</f>
        <v>113.91379999999998</v>
      </c>
    </row>
    <row r="37" spans="1:22">
      <c r="U37" s="51">
        <f>U36/T36</f>
        <v>0.50516097560975604</v>
      </c>
    </row>
    <row r="38" spans="1:22">
      <c r="B38" t="s">
        <v>67</v>
      </c>
      <c r="C38" s="68">
        <f>C4-C36</f>
        <v>7</v>
      </c>
      <c r="D38" s="68">
        <f t="shared" ref="D38:R38" si="5">D4-D36</f>
        <v>8</v>
      </c>
      <c r="E38">
        <f t="shared" si="5"/>
        <v>6</v>
      </c>
      <c r="F38">
        <f t="shared" si="5"/>
        <v>7</v>
      </c>
      <c r="G38">
        <f t="shared" si="5"/>
        <v>3</v>
      </c>
      <c r="H38">
        <f t="shared" si="5"/>
        <v>10</v>
      </c>
      <c r="I38">
        <f t="shared" si="5"/>
        <v>11</v>
      </c>
      <c r="J38">
        <f t="shared" si="5"/>
        <v>4</v>
      </c>
      <c r="K38">
        <f t="shared" si="5"/>
        <v>1</v>
      </c>
      <c r="L38">
        <f t="shared" si="5"/>
        <v>3</v>
      </c>
      <c r="M38">
        <f t="shared" si="5"/>
        <v>11</v>
      </c>
      <c r="N38">
        <f t="shared" si="5"/>
        <v>8</v>
      </c>
      <c r="O38">
        <f t="shared" si="5"/>
        <v>1</v>
      </c>
      <c r="P38">
        <f t="shared" si="5"/>
        <v>9</v>
      </c>
      <c r="Q38">
        <f t="shared" si="5"/>
        <v>0</v>
      </c>
      <c r="R38">
        <f t="shared" si="5"/>
        <v>5</v>
      </c>
      <c r="S38">
        <f>SUM(C38:R38)</f>
        <v>94</v>
      </c>
    </row>
  </sheetData>
  <sheetCalcPr fullCalcOnLoad="1"/>
  <mergeCells count="1">
    <mergeCell ref="A1"/>
  </mergeCells>
  <phoneticPr fontId="6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37"/>
  <sheetViews>
    <sheetView zoomScale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5" sqref="B35"/>
    </sheetView>
  </sheetViews>
  <sheetFormatPr baseColWidth="10" defaultRowHeight="13"/>
  <cols>
    <col min="1" max="1" width="19.5703125" customWidth="1"/>
    <col min="2" max="2" width="6.42578125" customWidth="1"/>
  </cols>
  <sheetData>
    <row r="1" spans="1:15" ht="99">
      <c r="A1" s="37" t="s">
        <v>68</v>
      </c>
      <c r="B1" s="21" t="s">
        <v>176</v>
      </c>
      <c r="C1" s="41" t="s">
        <v>100</v>
      </c>
      <c r="D1" s="41" t="s">
        <v>101</v>
      </c>
      <c r="E1" s="41" t="s">
        <v>102</v>
      </c>
      <c r="F1" s="41" t="s">
        <v>195</v>
      </c>
      <c r="G1" s="41" t="s">
        <v>69</v>
      </c>
      <c r="H1" s="41" t="s">
        <v>233</v>
      </c>
      <c r="I1" s="41" t="s">
        <v>98</v>
      </c>
      <c r="J1" s="41" t="s">
        <v>146</v>
      </c>
      <c r="K1" s="41" t="s">
        <v>215</v>
      </c>
      <c r="L1" s="41" t="s">
        <v>216</v>
      </c>
    </row>
    <row r="2" spans="1:15" s="34" customFormat="1" ht="29" customHeight="1">
      <c r="A2" s="35"/>
      <c r="B2" s="35"/>
      <c r="C2" s="34">
        <v>7</v>
      </c>
      <c r="D2" s="34">
        <v>7</v>
      </c>
      <c r="E2" s="34">
        <v>7</v>
      </c>
      <c r="F2" s="34">
        <v>9.5</v>
      </c>
      <c r="G2" s="34">
        <v>9.5</v>
      </c>
      <c r="H2" s="34">
        <v>3.5</v>
      </c>
      <c r="I2" s="34">
        <v>3.5</v>
      </c>
      <c r="J2" s="34">
        <v>4.5</v>
      </c>
      <c r="K2" s="34">
        <v>4.5</v>
      </c>
      <c r="L2" s="34">
        <v>4.5</v>
      </c>
    </row>
    <row r="3" spans="1:15" s="34" customFormat="1" ht="29" customHeight="1">
      <c r="A3" s="35"/>
      <c r="B3" s="35"/>
      <c r="C3" s="55">
        <f>Sheet1!$C$25</f>
        <v>0.37914285714285711</v>
      </c>
      <c r="D3" s="55">
        <f>Sheet1!$C$26</f>
        <v>0.37914285714285711</v>
      </c>
      <c r="E3" s="55">
        <f>Sheet1!$C$27</f>
        <v>0.37914285714285711</v>
      </c>
      <c r="F3" s="55">
        <f>Sheet1!$C$29</f>
        <v>0</v>
      </c>
      <c r="G3" s="55">
        <f>Sheet1!$C$30</f>
        <v>0</v>
      </c>
      <c r="H3" s="55">
        <f>Sheet1!$C$37</f>
        <v>0.20000000000000004</v>
      </c>
      <c r="I3" s="55">
        <f>Sheet1!$C$38</f>
        <v>0.20000000000000004</v>
      </c>
      <c r="J3" s="55">
        <f>Sheet1!$C$40</f>
        <v>0</v>
      </c>
      <c r="K3" s="55">
        <f>Sheet1!$C$41</f>
        <v>0</v>
      </c>
      <c r="L3" s="55">
        <f>Sheet1!$C$42</f>
        <v>0</v>
      </c>
      <c r="M3" s="55"/>
    </row>
    <row r="4" spans="1:15">
      <c r="H4">
        <v>0</v>
      </c>
      <c r="I4">
        <v>1</v>
      </c>
    </row>
    <row r="5" spans="1:15">
      <c r="A5" s="94">
        <v>40847</v>
      </c>
      <c r="N5" s="43">
        <f>-((C$2*C5)+(D$2*D5)+(E$2*E5)+(F$2*F5)+(G$2*G5)+(H$2*H5)+(I$2*I5)+(J$2*J5)+(K$2*K5)+(L$2*L5))</f>
        <v>0</v>
      </c>
      <c r="O5" s="45">
        <f>-((C$2*C$3*C5)+(D$2*D$3*D5)+(E$2*E$3*E5)+(F$2*F$3*F5)+(G$2*G$3*G5)+(H$2*H$3*H5)+(I$2*I$3*I5)+(J$2*J$3*J5)+(K$2*K$3*K5)+(L$2*L$3*L5))</f>
        <v>0</v>
      </c>
    </row>
    <row r="6" spans="1:15">
      <c r="A6" s="94">
        <v>40848</v>
      </c>
      <c r="N6" s="43">
        <f t="shared" ref="N6:N34" si="0">-((C$2*C6)+(D$2*D6)+(E$2*E6)+(F$2*F6)+(G$2*G6)+(H$2*H6)+(I$2*I6)+(J$2*J6)+(K$2*K6)+(L$2*L6))</f>
        <v>0</v>
      </c>
      <c r="O6" s="45">
        <f t="shared" ref="O6:O34" si="1">-((C$2*C$3*C6)+(D$2*D$3*D6)+(E$2*E$3*E6)+(F$2*F$3*F6)+(G$2*G$3*G6)+(H$2*H$3*H6)+(I$2*I$3*I6)+(J$2*J$3*J6)+(K$2*K$3*K6)+(L$2*L$3*L6))</f>
        <v>0</v>
      </c>
    </row>
    <row r="7" spans="1:15">
      <c r="A7" s="94">
        <v>40849</v>
      </c>
      <c r="N7" s="43">
        <f t="shared" si="0"/>
        <v>0</v>
      </c>
      <c r="O7" s="45">
        <f t="shared" si="1"/>
        <v>0</v>
      </c>
    </row>
    <row r="8" spans="1:15">
      <c r="A8" s="94">
        <v>40850</v>
      </c>
      <c r="N8" s="43">
        <f t="shared" si="0"/>
        <v>0</v>
      </c>
      <c r="O8" s="45">
        <f t="shared" si="1"/>
        <v>0</v>
      </c>
    </row>
    <row r="9" spans="1:15">
      <c r="A9" s="94">
        <v>40851</v>
      </c>
      <c r="N9" s="43">
        <f t="shared" si="0"/>
        <v>0</v>
      </c>
      <c r="O9" s="45">
        <f t="shared" si="1"/>
        <v>0</v>
      </c>
    </row>
    <row r="10" spans="1:15">
      <c r="A10" s="94">
        <v>40852</v>
      </c>
      <c r="N10" s="43">
        <f t="shared" si="0"/>
        <v>0</v>
      </c>
      <c r="O10" s="45">
        <f t="shared" si="1"/>
        <v>0</v>
      </c>
    </row>
    <row r="11" spans="1:15">
      <c r="A11" s="94">
        <v>40853</v>
      </c>
      <c r="N11" s="43">
        <f t="shared" si="0"/>
        <v>0</v>
      </c>
      <c r="O11" s="45">
        <f t="shared" si="1"/>
        <v>0</v>
      </c>
    </row>
    <row r="12" spans="1:15">
      <c r="A12" s="94">
        <v>40854</v>
      </c>
      <c r="N12" s="43">
        <f t="shared" si="0"/>
        <v>0</v>
      </c>
      <c r="O12" s="45">
        <f t="shared" si="1"/>
        <v>0</v>
      </c>
    </row>
    <row r="13" spans="1:15">
      <c r="A13" s="94">
        <v>40855</v>
      </c>
      <c r="N13" s="43">
        <f t="shared" si="0"/>
        <v>0</v>
      </c>
      <c r="O13" s="45">
        <f t="shared" si="1"/>
        <v>0</v>
      </c>
    </row>
    <row r="14" spans="1:15">
      <c r="A14" s="94">
        <v>40856</v>
      </c>
      <c r="N14" s="43">
        <f t="shared" si="0"/>
        <v>0</v>
      </c>
      <c r="O14" s="45">
        <f t="shared" si="1"/>
        <v>0</v>
      </c>
    </row>
    <row r="15" spans="1:15">
      <c r="A15" s="94">
        <v>40857</v>
      </c>
      <c r="N15" s="43">
        <f t="shared" si="0"/>
        <v>0</v>
      </c>
      <c r="O15" s="45">
        <f t="shared" si="1"/>
        <v>0</v>
      </c>
    </row>
    <row r="16" spans="1:15">
      <c r="A16" s="94">
        <v>40858</v>
      </c>
      <c r="N16" s="43">
        <f t="shared" si="0"/>
        <v>0</v>
      </c>
      <c r="O16" s="45">
        <f t="shared" si="1"/>
        <v>0</v>
      </c>
    </row>
    <row r="17" spans="1:15">
      <c r="A17" s="94">
        <v>40859</v>
      </c>
      <c r="N17" s="43">
        <f t="shared" si="0"/>
        <v>0</v>
      </c>
      <c r="O17" s="45">
        <f t="shared" si="1"/>
        <v>0</v>
      </c>
    </row>
    <row r="18" spans="1:15">
      <c r="A18" s="94">
        <v>40860</v>
      </c>
      <c r="N18" s="43">
        <f t="shared" si="0"/>
        <v>0</v>
      </c>
      <c r="O18" s="45">
        <f t="shared" si="1"/>
        <v>0</v>
      </c>
    </row>
    <row r="19" spans="1:15">
      <c r="A19" s="94">
        <v>40861</v>
      </c>
      <c r="N19" s="43">
        <f t="shared" si="0"/>
        <v>0</v>
      </c>
      <c r="O19" s="45">
        <f t="shared" si="1"/>
        <v>0</v>
      </c>
    </row>
    <row r="20" spans="1:15">
      <c r="A20" s="94">
        <v>40862</v>
      </c>
      <c r="N20" s="43">
        <f t="shared" si="0"/>
        <v>0</v>
      </c>
      <c r="O20" s="45">
        <f t="shared" si="1"/>
        <v>0</v>
      </c>
    </row>
    <row r="21" spans="1:15">
      <c r="A21" s="94">
        <v>40863</v>
      </c>
      <c r="N21" s="43">
        <f t="shared" si="0"/>
        <v>0</v>
      </c>
      <c r="O21" s="45">
        <f t="shared" si="1"/>
        <v>0</v>
      </c>
    </row>
    <row r="22" spans="1:15">
      <c r="A22" s="94">
        <v>40864</v>
      </c>
      <c r="N22" s="43">
        <f t="shared" si="0"/>
        <v>0</v>
      </c>
      <c r="O22" s="45">
        <f t="shared" si="1"/>
        <v>0</v>
      </c>
    </row>
    <row r="23" spans="1:15">
      <c r="A23" s="94">
        <v>40865</v>
      </c>
      <c r="N23" s="43">
        <f>-((C$2*C23)+(D$2*D23)+(E$2*E23)+(F$2*F23)+(G$2*G23)+(H$2*H23)+(I$2*I23)+(J$2*J23)+(K$2*K23)+(L$2*L23))</f>
        <v>0</v>
      </c>
      <c r="O23" s="45">
        <f>-((C$2*C$3*C23)+(D$2*D$3*D23)+(E$2*E$3*E23)+(F$2*F$3*F23)+(G$2*G$3*G23)+(H$2*H$3*H23)+(I$2*I$3*I23)+(J$2*J$3*J23)+(K$2*K$3*K23)+(L$2*L$3*L23))</f>
        <v>0</v>
      </c>
    </row>
    <row r="24" spans="1:15">
      <c r="A24" s="94">
        <v>40866</v>
      </c>
      <c r="N24" s="43">
        <f t="shared" si="0"/>
        <v>0</v>
      </c>
      <c r="O24" s="45">
        <f t="shared" si="1"/>
        <v>0</v>
      </c>
    </row>
    <row r="25" spans="1:15">
      <c r="A25" s="94">
        <v>40867</v>
      </c>
      <c r="N25" s="43">
        <f t="shared" si="0"/>
        <v>0</v>
      </c>
      <c r="O25" s="45">
        <f t="shared" si="1"/>
        <v>0</v>
      </c>
    </row>
    <row r="26" spans="1:15">
      <c r="A26" s="94">
        <v>40868</v>
      </c>
      <c r="N26" s="43">
        <f>((C$2*C26)+(D$2*D26)+(E$2*E26)+(F$2*F26)+(G$2*G26)+(H$2*H26)+(I$2*I26)+(J$2*J26)+(K$2*K26)+(L$2*L26))</f>
        <v>0</v>
      </c>
      <c r="O26" s="45">
        <f t="shared" si="1"/>
        <v>0</v>
      </c>
    </row>
    <row r="27" spans="1:15">
      <c r="A27" s="94">
        <v>40869</v>
      </c>
      <c r="N27" s="43">
        <f t="shared" si="0"/>
        <v>0</v>
      </c>
      <c r="O27" s="45">
        <f t="shared" si="1"/>
        <v>0</v>
      </c>
    </row>
    <row r="28" spans="1:15">
      <c r="A28" s="94">
        <v>40870</v>
      </c>
      <c r="N28" s="43">
        <f t="shared" si="0"/>
        <v>0</v>
      </c>
      <c r="O28" s="45">
        <f>-((C$2*C$3*C28)+(D$2*D$3*D28)+(E$2*E$3*E28)+(F$2*F$3*F28)+(G$2*G$3*G28)+(H$2*H$3*H28)+(I$2*I$3*I28)+(J$2*J$3*J28)+(K$2*K$3*K28)+(L$2*L$3*L28))</f>
        <v>0</v>
      </c>
    </row>
    <row r="29" spans="1:15">
      <c r="A29" s="94">
        <v>40871</v>
      </c>
      <c r="N29" s="43">
        <f t="shared" si="0"/>
        <v>0</v>
      </c>
      <c r="O29" s="45">
        <f t="shared" si="1"/>
        <v>0</v>
      </c>
    </row>
    <row r="30" spans="1:15">
      <c r="A30" s="94">
        <v>40872</v>
      </c>
      <c r="N30" s="43">
        <f t="shared" si="0"/>
        <v>0</v>
      </c>
      <c r="O30" s="45">
        <f t="shared" si="1"/>
        <v>0</v>
      </c>
    </row>
    <row r="31" spans="1:15">
      <c r="A31" s="94">
        <v>40873</v>
      </c>
      <c r="N31" s="43">
        <f t="shared" si="0"/>
        <v>0</v>
      </c>
      <c r="O31" s="45">
        <f t="shared" si="1"/>
        <v>0</v>
      </c>
    </row>
    <row r="32" spans="1:15">
      <c r="A32" s="94">
        <v>40874</v>
      </c>
      <c r="N32" s="43">
        <f t="shared" si="0"/>
        <v>0</v>
      </c>
      <c r="O32" s="45">
        <f>-((C$2*C$3*C32)+(D$2*D$3*D32)+(E$2*E$3*E32)+(F$2*F$3*F32)+(G$2*G$3*G32)+(H$2*H$3*H32)+(I$2*I$3*I32)+(J$2*J$3*J32)+(K$2*K$3*K32)+(L$2*L$3*L32))</f>
        <v>0</v>
      </c>
    </row>
    <row r="33" spans="1:15">
      <c r="A33" s="94">
        <v>40875</v>
      </c>
      <c r="N33" s="43">
        <f t="shared" si="0"/>
        <v>0</v>
      </c>
      <c r="O33" s="45">
        <f t="shared" si="1"/>
        <v>0</v>
      </c>
    </row>
    <row r="34" spans="1:15">
      <c r="A34" s="94">
        <v>40876</v>
      </c>
      <c r="N34" s="43">
        <f t="shared" si="0"/>
        <v>0</v>
      </c>
      <c r="O34" s="45">
        <f t="shared" si="1"/>
        <v>0</v>
      </c>
    </row>
    <row r="35" spans="1:15">
      <c r="A35" s="24"/>
    </row>
    <row r="36" spans="1:15">
      <c r="C36">
        <f>SUM(C4:C35)</f>
        <v>0</v>
      </c>
      <c r="D36">
        <f t="shared" ref="D36:L36" si="2">SUM(D4:D35)</f>
        <v>0</v>
      </c>
      <c r="E36">
        <f t="shared" si="2"/>
        <v>0</v>
      </c>
      <c r="F36">
        <f t="shared" si="2"/>
        <v>0</v>
      </c>
      <c r="G36">
        <f t="shared" si="2"/>
        <v>0</v>
      </c>
      <c r="H36">
        <f t="shared" si="2"/>
        <v>0</v>
      </c>
      <c r="I36">
        <f t="shared" si="2"/>
        <v>1</v>
      </c>
      <c r="J36">
        <f t="shared" si="2"/>
        <v>0</v>
      </c>
      <c r="K36">
        <f t="shared" si="2"/>
        <v>0</v>
      </c>
      <c r="L36">
        <f t="shared" si="2"/>
        <v>0</v>
      </c>
      <c r="N36" s="43">
        <f>SUM(N5:N35)</f>
        <v>0</v>
      </c>
      <c r="O36" s="45">
        <f>SUM(O5:O35)</f>
        <v>0</v>
      </c>
    </row>
    <row r="37" spans="1:15">
      <c r="O37" s="59" t="e">
        <f>O36/N36</f>
        <v>#DIV/0!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38"/>
  <sheetViews>
    <sheetView zoomScale="125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baseColWidth="10" defaultRowHeight="13"/>
  <cols>
    <col min="1" max="1" width="19.5703125" customWidth="1"/>
    <col min="2" max="2" width="6.42578125" customWidth="1"/>
  </cols>
  <sheetData>
    <row r="1" spans="1:7" ht="86">
      <c r="A1" s="37" t="s">
        <v>68</v>
      </c>
      <c r="B1" s="21" t="s">
        <v>175</v>
      </c>
      <c r="C1" s="22" t="s">
        <v>174</v>
      </c>
      <c r="D1" s="22" t="s">
        <v>142</v>
      </c>
    </row>
    <row r="2" spans="1:7" s="34" customFormat="1" ht="29" customHeight="1">
      <c r="A2" s="35"/>
      <c r="C2" s="34">
        <v>6</v>
      </c>
      <c r="D2" s="34">
        <v>10</v>
      </c>
    </row>
    <row r="3" spans="1:7" s="34" customFormat="1" ht="29" customHeight="1">
      <c r="A3" s="35"/>
      <c r="C3" s="56">
        <f>Sheet1!$C$46</f>
        <v>0.39999999999999997</v>
      </c>
      <c r="D3" s="56">
        <f>Sheet1!$C$47</f>
        <v>0.4</v>
      </c>
    </row>
    <row r="4" spans="1:7">
      <c r="C4">
        <v>6</v>
      </c>
      <c r="D4">
        <v>2</v>
      </c>
    </row>
    <row r="5" spans="1:7">
      <c r="A5" s="94">
        <v>40847</v>
      </c>
      <c r="F5" s="43">
        <f>-((C$2*C5)+(D$2*D5))</f>
        <v>0</v>
      </c>
      <c r="G5" s="45">
        <f>-((C$2*C$3*C5)+(D$2*D$3*D5))</f>
        <v>0</v>
      </c>
    </row>
    <row r="6" spans="1:7">
      <c r="A6" s="94">
        <v>40848</v>
      </c>
      <c r="F6" s="45">
        <f t="shared" ref="F6:F34" si="0">-((C$2*C6)+(D$2*D6))</f>
        <v>0</v>
      </c>
      <c r="G6" s="45">
        <f t="shared" ref="G6:G34" si="1">-((C$2*C$3*C6)+(D$2*D$3*D6))</f>
        <v>0</v>
      </c>
    </row>
    <row r="7" spans="1:7">
      <c r="A7" s="94">
        <v>40849</v>
      </c>
      <c r="F7" s="45">
        <f t="shared" si="0"/>
        <v>0</v>
      </c>
      <c r="G7" s="45">
        <f t="shared" si="1"/>
        <v>0</v>
      </c>
    </row>
    <row r="8" spans="1:7">
      <c r="A8" s="94">
        <v>40850</v>
      </c>
      <c r="F8" s="45">
        <f t="shared" si="0"/>
        <v>0</v>
      </c>
      <c r="G8" s="45">
        <f t="shared" si="1"/>
        <v>0</v>
      </c>
    </row>
    <row r="9" spans="1:7">
      <c r="A9" s="94">
        <v>40851</v>
      </c>
      <c r="F9" s="45">
        <f t="shared" si="0"/>
        <v>0</v>
      </c>
      <c r="G9" s="45">
        <f t="shared" si="1"/>
        <v>0</v>
      </c>
    </row>
    <row r="10" spans="1:7">
      <c r="A10" s="94">
        <v>40852</v>
      </c>
      <c r="F10" s="45">
        <f t="shared" si="0"/>
        <v>0</v>
      </c>
      <c r="G10" s="45">
        <f t="shared" si="1"/>
        <v>0</v>
      </c>
    </row>
    <row r="11" spans="1:7">
      <c r="A11" s="94">
        <v>40853</v>
      </c>
      <c r="F11" s="45">
        <f t="shared" si="0"/>
        <v>0</v>
      </c>
      <c r="G11" s="45">
        <f t="shared" si="1"/>
        <v>0</v>
      </c>
    </row>
    <row r="12" spans="1:7">
      <c r="A12" s="94">
        <v>40854</v>
      </c>
      <c r="F12" s="45">
        <f t="shared" si="0"/>
        <v>0</v>
      </c>
      <c r="G12" s="45">
        <f t="shared" si="1"/>
        <v>0</v>
      </c>
    </row>
    <row r="13" spans="1:7">
      <c r="A13" s="94">
        <v>40855</v>
      </c>
      <c r="F13" s="45">
        <f t="shared" si="0"/>
        <v>0</v>
      </c>
      <c r="G13" s="45">
        <f t="shared" si="1"/>
        <v>0</v>
      </c>
    </row>
    <row r="14" spans="1:7">
      <c r="A14" s="94">
        <v>40856</v>
      </c>
      <c r="F14" s="45">
        <f t="shared" si="0"/>
        <v>0</v>
      </c>
      <c r="G14" s="45">
        <f t="shared" si="1"/>
        <v>0</v>
      </c>
    </row>
    <row r="15" spans="1:7">
      <c r="A15" s="94">
        <v>40857</v>
      </c>
      <c r="F15" s="45">
        <f t="shared" si="0"/>
        <v>0</v>
      </c>
      <c r="G15" s="45">
        <f t="shared" si="1"/>
        <v>0</v>
      </c>
    </row>
    <row r="16" spans="1:7">
      <c r="A16" s="94">
        <v>40858</v>
      </c>
      <c r="F16" s="45">
        <f t="shared" si="0"/>
        <v>0</v>
      </c>
      <c r="G16" s="45">
        <f t="shared" si="1"/>
        <v>0</v>
      </c>
    </row>
    <row r="17" spans="1:7">
      <c r="A17" s="94">
        <v>40859</v>
      </c>
      <c r="C17">
        <v>-1</v>
      </c>
      <c r="F17" s="45">
        <f t="shared" si="0"/>
        <v>6</v>
      </c>
      <c r="G17" s="45">
        <f t="shared" si="1"/>
        <v>2.4</v>
      </c>
    </row>
    <row r="18" spans="1:7">
      <c r="A18" s="94">
        <v>40860</v>
      </c>
      <c r="F18" s="45">
        <f t="shared" si="0"/>
        <v>0</v>
      </c>
      <c r="G18" s="45">
        <f t="shared" si="1"/>
        <v>0</v>
      </c>
    </row>
    <row r="19" spans="1:7">
      <c r="A19" s="94">
        <v>40861</v>
      </c>
      <c r="F19" s="45">
        <f t="shared" si="0"/>
        <v>0</v>
      </c>
      <c r="G19" s="45">
        <f t="shared" si="1"/>
        <v>0</v>
      </c>
    </row>
    <row r="20" spans="1:7">
      <c r="A20" s="94">
        <v>40862</v>
      </c>
      <c r="F20" s="45">
        <f t="shared" si="0"/>
        <v>0</v>
      </c>
      <c r="G20" s="45">
        <f t="shared" si="1"/>
        <v>0</v>
      </c>
    </row>
    <row r="21" spans="1:7">
      <c r="A21" s="94">
        <v>40863</v>
      </c>
      <c r="F21" s="45">
        <f t="shared" si="0"/>
        <v>0</v>
      </c>
      <c r="G21" s="45">
        <f t="shared" si="1"/>
        <v>0</v>
      </c>
    </row>
    <row r="22" spans="1:7">
      <c r="A22" s="94">
        <v>40864</v>
      </c>
      <c r="F22" s="45">
        <f t="shared" si="0"/>
        <v>0</v>
      </c>
      <c r="G22" s="45">
        <f t="shared" si="1"/>
        <v>0</v>
      </c>
    </row>
    <row r="23" spans="1:7">
      <c r="A23" s="94">
        <v>40865</v>
      </c>
      <c r="F23" s="45">
        <f t="shared" si="0"/>
        <v>0</v>
      </c>
      <c r="G23" s="45">
        <f t="shared" si="1"/>
        <v>0</v>
      </c>
    </row>
    <row r="24" spans="1:7">
      <c r="A24" s="94">
        <v>40866</v>
      </c>
      <c r="F24" s="45">
        <f t="shared" si="0"/>
        <v>0</v>
      </c>
      <c r="G24" s="45">
        <f t="shared" si="1"/>
        <v>0</v>
      </c>
    </row>
    <row r="25" spans="1:7">
      <c r="A25" s="94">
        <v>40867</v>
      </c>
      <c r="F25" s="45">
        <f t="shared" si="0"/>
        <v>0</v>
      </c>
      <c r="G25" s="45">
        <f t="shared" si="1"/>
        <v>0</v>
      </c>
    </row>
    <row r="26" spans="1:7">
      <c r="A26" s="94">
        <v>40868</v>
      </c>
      <c r="F26" s="45">
        <f t="shared" si="0"/>
        <v>0</v>
      </c>
      <c r="G26" s="45">
        <f t="shared" si="1"/>
        <v>0</v>
      </c>
    </row>
    <row r="27" spans="1:7">
      <c r="A27" s="94">
        <v>40869</v>
      </c>
      <c r="F27" s="45">
        <f t="shared" si="0"/>
        <v>0</v>
      </c>
      <c r="G27" s="45">
        <f t="shared" si="1"/>
        <v>0</v>
      </c>
    </row>
    <row r="28" spans="1:7">
      <c r="A28" s="94">
        <v>40870</v>
      </c>
      <c r="F28" s="45">
        <f t="shared" si="0"/>
        <v>0</v>
      </c>
      <c r="G28" s="45">
        <f t="shared" si="1"/>
        <v>0</v>
      </c>
    </row>
    <row r="29" spans="1:7">
      <c r="A29" s="94">
        <v>40871</v>
      </c>
      <c r="F29" s="45">
        <f t="shared" si="0"/>
        <v>0</v>
      </c>
      <c r="G29" s="45">
        <f t="shared" si="1"/>
        <v>0</v>
      </c>
    </row>
    <row r="30" spans="1:7">
      <c r="A30" s="94">
        <v>40872</v>
      </c>
      <c r="C30">
        <v>-1</v>
      </c>
      <c r="F30" s="45">
        <f t="shared" si="0"/>
        <v>6</v>
      </c>
      <c r="G30" s="45">
        <f t="shared" si="1"/>
        <v>2.4</v>
      </c>
    </row>
    <row r="31" spans="1:7">
      <c r="A31" s="94">
        <v>40873</v>
      </c>
      <c r="F31" s="45">
        <f t="shared" si="0"/>
        <v>0</v>
      </c>
      <c r="G31" s="45">
        <f t="shared" si="1"/>
        <v>0</v>
      </c>
    </row>
    <row r="32" spans="1:7">
      <c r="A32" s="94">
        <v>40874</v>
      </c>
      <c r="F32" s="45">
        <f t="shared" si="0"/>
        <v>0</v>
      </c>
      <c r="G32" s="45">
        <f t="shared" si="1"/>
        <v>0</v>
      </c>
    </row>
    <row r="33" spans="1:7">
      <c r="A33" s="94">
        <v>40875</v>
      </c>
      <c r="F33" s="45">
        <f t="shared" si="0"/>
        <v>0</v>
      </c>
      <c r="G33" s="45">
        <f t="shared" si="1"/>
        <v>0</v>
      </c>
    </row>
    <row r="34" spans="1:7">
      <c r="A34" s="94">
        <v>40876</v>
      </c>
      <c r="F34" s="45">
        <f t="shared" si="0"/>
        <v>0</v>
      </c>
      <c r="G34" s="45">
        <f t="shared" si="1"/>
        <v>0</v>
      </c>
    </row>
    <row r="35" spans="1:7">
      <c r="A35" s="24"/>
    </row>
    <row r="36" spans="1:7">
      <c r="C36">
        <f t="shared" ref="C36:D36" si="2">SUM(C4:C35)</f>
        <v>4</v>
      </c>
      <c r="D36">
        <f t="shared" si="2"/>
        <v>2</v>
      </c>
      <c r="F36" s="43">
        <f>SUM(F5:F35)</f>
        <v>12</v>
      </c>
      <c r="G36" s="45">
        <f>SUM(G5:G35)</f>
        <v>4.8</v>
      </c>
    </row>
    <row r="37" spans="1:7">
      <c r="G37" s="59">
        <f>G36/F36</f>
        <v>0.39999999999999997</v>
      </c>
    </row>
    <row r="38" spans="1:7">
      <c r="C38">
        <f>C4-C36</f>
        <v>2</v>
      </c>
      <c r="D38">
        <f>D4-D36</f>
        <v>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38"/>
  <sheetViews>
    <sheetView zoomScale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5" sqref="B35"/>
    </sheetView>
  </sheetViews>
  <sheetFormatPr baseColWidth="10" defaultRowHeight="13"/>
  <cols>
    <col min="1" max="1" width="19.5703125" customWidth="1"/>
    <col min="2" max="2" width="6.42578125" customWidth="1"/>
  </cols>
  <sheetData>
    <row r="1" spans="1:6" ht="45">
      <c r="A1" s="37" t="s">
        <v>68</v>
      </c>
      <c r="B1" s="21" t="s">
        <v>178</v>
      </c>
      <c r="C1" s="41" t="s">
        <v>224</v>
      </c>
    </row>
    <row r="2" spans="1:6" s="34" customFormat="1" ht="29" customHeight="1">
      <c r="A2" s="35"/>
      <c r="C2" s="34">
        <v>10</v>
      </c>
    </row>
    <row r="3" spans="1:6" s="34" customFormat="1" ht="29" customHeight="1">
      <c r="A3" s="35"/>
      <c r="C3" s="56">
        <f>Sheet1!$C$50</f>
        <v>0.25</v>
      </c>
    </row>
    <row r="4" spans="1:6">
      <c r="C4">
        <v>1</v>
      </c>
    </row>
    <row r="5" spans="1:6">
      <c r="A5" s="94">
        <v>40847</v>
      </c>
      <c r="E5" s="57">
        <f>-((C$2*C5))</f>
        <v>0</v>
      </c>
      <c r="F5" s="57">
        <f>-((C$2*C$3*C5))</f>
        <v>0</v>
      </c>
    </row>
    <row r="6" spans="1:6">
      <c r="A6" s="94">
        <v>40848</v>
      </c>
      <c r="E6" s="57">
        <f t="shared" ref="E6:E34" si="0">-((C$2*C6))</f>
        <v>0</v>
      </c>
      <c r="F6" s="57">
        <f>-((C$2*C$3*C6))</f>
        <v>0</v>
      </c>
    </row>
    <row r="7" spans="1:6">
      <c r="A7" s="94">
        <v>40849</v>
      </c>
      <c r="E7" s="57">
        <f t="shared" si="0"/>
        <v>0</v>
      </c>
      <c r="F7" s="57">
        <f t="shared" ref="F7:F34" si="1">-((C$2*C$3*C7))</f>
        <v>0</v>
      </c>
    </row>
    <row r="8" spans="1:6">
      <c r="A8" s="94">
        <v>40850</v>
      </c>
      <c r="E8" s="57">
        <f t="shared" si="0"/>
        <v>0</v>
      </c>
      <c r="F8" s="57">
        <f t="shared" si="1"/>
        <v>0</v>
      </c>
    </row>
    <row r="9" spans="1:6">
      <c r="A9" s="94">
        <v>40851</v>
      </c>
      <c r="E9" s="57">
        <f t="shared" si="0"/>
        <v>0</v>
      </c>
      <c r="F9" s="57">
        <f t="shared" si="1"/>
        <v>0</v>
      </c>
    </row>
    <row r="10" spans="1:6">
      <c r="A10" s="94">
        <v>40852</v>
      </c>
      <c r="E10" s="57">
        <f t="shared" si="0"/>
        <v>0</v>
      </c>
      <c r="F10" s="57">
        <f t="shared" si="1"/>
        <v>0</v>
      </c>
    </row>
    <row r="11" spans="1:6">
      <c r="A11" s="94">
        <v>40853</v>
      </c>
      <c r="E11" s="57">
        <f t="shared" si="0"/>
        <v>0</v>
      </c>
      <c r="F11" s="57">
        <f t="shared" si="1"/>
        <v>0</v>
      </c>
    </row>
    <row r="12" spans="1:6">
      <c r="A12" s="94">
        <v>40854</v>
      </c>
      <c r="E12" s="57">
        <f t="shared" si="0"/>
        <v>0</v>
      </c>
      <c r="F12" s="57">
        <f t="shared" si="1"/>
        <v>0</v>
      </c>
    </row>
    <row r="13" spans="1:6">
      <c r="A13" s="94">
        <v>40855</v>
      </c>
      <c r="E13" s="57">
        <f t="shared" si="0"/>
        <v>0</v>
      </c>
      <c r="F13" s="57">
        <f t="shared" si="1"/>
        <v>0</v>
      </c>
    </row>
    <row r="14" spans="1:6">
      <c r="A14" s="94">
        <v>40856</v>
      </c>
      <c r="E14" s="57">
        <f t="shared" si="0"/>
        <v>0</v>
      </c>
      <c r="F14" s="57">
        <f t="shared" si="1"/>
        <v>0</v>
      </c>
    </row>
    <row r="15" spans="1:6">
      <c r="A15" s="94">
        <v>40857</v>
      </c>
      <c r="E15" s="57">
        <f t="shared" si="0"/>
        <v>0</v>
      </c>
      <c r="F15" s="57">
        <f t="shared" si="1"/>
        <v>0</v>
      </c>
    </row>
    <row r="16" spans="1:6">
      <c r="A16" s="94">
        <v>40858</v>
      </c>
      <c r="E16" s="57">
        <f t="shared" si="0"/>
        <v>0</v>
      </c>
      <c r="F16" s="57">
        <f t="shared" si="1"/>
        <v>0</v>
      </c>
    </row>
    <row r="17" spans="1:6">
      <c r="A17" s="94">
        <v>40859</v>
      </c>
      <c r="E17" s="57">
        <f t="shared" si="0"/>
        <v>0</v>
      </c>
      <c r="F17" s="57">
        <f t="shared" si="1"/>
        <v>0</v>
      </c>
    </row>
    <row r="18" spans="1:6">
      <c r="A18" s="94">
        <v>40860</v>
      </c>
      <c r="E18" s="57">
        <f t="shared" si="0"/>
        <v>0</v>
      </c>
      <c r="F18" s="57">
        <f t="shared" si="1"/>
        <v>0</v>
      </c>
    </row>
    <row r="19" spans="1:6">
      <c r="A19" s="94">
        <v>40861</v>
      </c>
      <c r="E19" s="57">
        <f t="shared" si="0"/>
        <v>0</v>
      </c>
      <c r="F19" s="57">
        <f t="shared" si="1"/>
        <v>0</v>
      </c>
    </row>
    <row r="20" spans="1:6">
      <c r="A20" s="94">
        <v>40862</v>
      </c>
      <c r="E20" s="57">
        <f t="shared" si="0"/>
        <v>0</v>
      </c>
      <c r="F20" s="57">
        <f t="shared" si="1"/>
        <v>0</v>
      </c>
    </row>
    <row r="21" spans="1:6">
      <c r="A21" s="94">
        <v>40863</v>
      </c>
      <c r="E21" s="57">
        <f t="shared" si="0"/>
        <v>0</v>
      </c>
      <c r="F21" s="57">
        <f t="shared" si="1"/>
        <v>0</v>
      </c>
    </row>
    <row r="22" spans="1:6">
      <c r="A22" s="94">
        <v>40864</v>
      </c>
      <c r="E22" s="57">
        <f t="shared" si="0"/>
        <v>0</v>
      </c>
      <c r="F22" s="57">
        <f t="shared" si="1"/>
        <v>0</v>
      </c>
    </row>
    <row r="23" spans="1:6">
      <c r="A23" s="94">
        <v>40865</v>
      </c>
      <c r="E23" s="57">
        <f t="shared" si="0"/>
        <v>0</v>
      </c>
      <c r="F23" s="57">
        <f t="shared" si="1"/>
        <v>0</v>
      </c>
    </row>
    <row r="24" spans="1:6">
      <c r="A24" s="94">
        <v>40866</v>
      </c>
      <c r="E24" s="57">
        <f t="shared" si="0"/>
        <v>0</v>
      </c>
      <c r="F24" s="57">
        <f t="shared" si="1"/>
        <v>0</v>
      </c>
    </row>
    <row r="25" spans="1:6">
      <c r="A25" s="94">
        <v>40867</v>
      </c>
      <c r="E25" s="57">
        <f t="shared" si="0"/>
        <v>0</v>
      </c>
      <c r="F25" s="57">
        <f t="shared" si="1"/>
        <v>0</v>
      </c>
    </row>
    <row r="26" spans="1:6">
      <c r="A26" s="94">
        <v>40868</v>
      </c>
      <c r="E26" s="57">
        <f t="shared" si="0"/>
        <v>0</v>
      </c>
      <c r="F26" s="57">
        <f t="shared" si="1"/>
        <v>0</v>
      </c>
    </row>
    <row r="27" spans="1:6">
      <c r="A27" s="94">
        <v>40869</v>
      </c>
      <c r="E27" s="57">
        <f t="shared" si="0"/>
        <v>0</v>
      </c>
      <c r="F27" s="57">
        <f t="shared" si="1"/>
        <v>0</v>
      </c>
    </row>
    <row r="28" spans="1:6">
      <c r="A28" s="94">
        <v>40870</v>
      </c>
      <c r="E28" s="57">
        <f t="shared" si="0"/>
        <v>0</v>
      </c>
      <c r="F28" s="57">
        <f t="shared" si="1"/>
        <v>0</v>
      </c>
    </row>
    <row r="29" spans="1:6">
      <c r="A29" s="94">
        <v>40871</v>
      </c>
      <c r="E29" s="57">
        <f t="shared" si="0"/>
        <v>0</v>
      </c>
      <c r="F29" s="57">
        <f t="shared" si="1"/>
        <v>0</v>
      </c>
    </row>
    <row r="30" spans="1:6">
      <c r="A30" s="94">
        <v>40872</v>
      </c>
      <c r="E30" s="57">
        <f t="shared" si="0"/>
        <v>0</v>
      </c>
      <c r="F30" s="57">
        <f t="shared" si="1"/>
        <v>0</v>
      </c>
    </row>
    <row r="31" spans="1:6">
      <c r="A31" s="94">
        <v>40873</v>
      </c>
      <c r="E31" s="57">
        <f>-((C$2*C31))</f>
        <v>0</v>
      </c>
      <c r="F31" s="57">
        <f t="shared" si="1"/>
        <v>0</v>
      </c>
    </row>
    <row r="32" spans="1:6">
      <c r="A32" s="94">
        <v>40874</v>
      </c>
      <c r="E32" s="57">
        <f t="shared" si="0"/>
        <v>0</v>
      </c>
      <c r="F32" s="57">
        <f t="shared" si="1"/>
        <v>0</v>
      </c>
    </row>
    <row r="33" spans="1:6">
      <c r="A33" s="94">
        <v>40875</v>
      </c>
      <c r="E33" s="57">
        <f t="shared" si="0"/>
        <v>0</v>
      </c>
      <c r="F33" s="57">
        <f t="shared" si="1"/>
        <v>0</v>
      </c>
    </row>
    <row r="34" spans="1:6">
      <c r="A34" s="94">
        <v>40876</v>
      </c>
      <c r="E34" s="57">
        <f t="shared" si="0"/>
        <v>0</v>
      </c>
      <c r="F34" s="57">
        <f t="shared" si="1"/>
        <v>0</v>
      </c>
    </row>
    <row r="35" spans="1:6">
      <c r="A35" s="24"/>
      <c r="E35" s="57"/>
      <c r="F35" s="57"/>
    </row>
    <row r="36" spans="1:6">
      <c r="C36">
        <f>SUM(C4:C35)</f>
        <v>1</v>
      </c>
      <c r="E36" s="57">
        <f>SUM(E5:E35)</f>
        <v>0</v>
      </c>
      <c r="F36" s="57">
        <f>SUM(F5:F35)</f>
        <v>0</v>
      </c>
    </row>
    <row r="37" spans="1:6">
      <c r="F37" s="59" t="e">
        <f>F36/E36</f>
        <v>#DIV/0!</v>
      </c>
    </row>
    <row r="38" spans="1:6">
      <c r="C38">
        <f>C4-C36</f>
        <v>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38"/>
  <sheetViews>
    <sheetView zoomScale="125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C4" sqref="C4"/>
    </sheetView>
  </sheetViews>
  <sheetFormatPr baseColWidth="10" defaultRowHeight="13"/>
  <cols>
    <col min="1" max="1" width="19.5703125" customWidth="1"/>
    <col min="2" max="2" width="6.42578125" customWidth="1"/>
  </cols>
  <sheetData>
    <row r="1" spans="1:7" ht="68">
      <c r="A1" s="39" t="s">
        <v>68</v>
      </c>
      <c r="B1" s="21" t="s">
        <v>111</v>
      </c>
      <c r="C1" s="41" t="s">
        <v>112</v>
      </c>
      <c r="D1" s="41" t="s">
        <v>230</v>
      </c>
    </row>
    <row r="2" spans="1:7" s="34" customFormat="1" ht="29" customHeight="1">
      <c r="A2" s="35"/>
      <c r="C2" s="34">
        <v>10</v>
      </c>
      <c r="D2" s="34">
        <v>14</v>
      </c>
    </row>
    <row r="3" spans="1:7" s="34" customFormat="1" ht="29" customHeight="1">
      <c r="A3" s="35"/>
      <c r="C3" s="56">
        <f>Sheet1!$C$62</f>
        <v>0.25</v>
      </c>
      <c r="D3" s="56">
        <f>Sheet1!$C$63</f>
        <v>0.32142857142857145</v>
      </c>
    </row>
    <row r="4" spans="1:7">
      <c r="C4">
        <v>8</v>
      </c>
      <c r="D4">
        <v>1</v>
      </c>
      <c r="F4" s="45">
        <f>((C$2*C4)+(D$2*D4))</f>
        <v>94</v>
      </c>
    </row>
    <row r="5" spans="1:7">
      <c r="A5" s="94">
        <v>40847</v>
      </c>
      <c r="F5" s="42">
        <f>-((C$2*C5)+(D$2*D5))</f>
        <v>0</v>
      </c>
      <c r="G5" s="45">
        <f>-((C$2*C$3*C5)+(D$2*D$3*D5))</f>
        <v>0</v>
      </c>
    </row>
    <row r="6" spans="1:7">
      <c r="A6" s="94">
        <v>40848</v>
      </c>
      <c r="F6" s="42">
        <f t="shared" ref="F6:F34" si="0">-((C$2*C6)+(D$2*D6))</f>
        <v>0</v>
      </c>
      <c r="G6" s="45">
        <f>-((C$2*C$3*C6)+(D$2*D$3*D6))</f>
        <v>0</v>
      </c>
    </row>
    <row r="7" spans="1:7">
      <c r="A7" s="94">
        <v>40849</v>
      </c>
      <c r="F7" s="42">
        <f t="shared" si="0"/>
        <v>0</v>
      </c>
      <c r="G7" s="45">
        <f t="shared" ref="G7:G34" si="1">-((C$2*C$3*C7)+(D$2*D$3*D7))</f>
        <v>0</v>
      </c>
    </row>
    <row r="8" spans="1:7">
      <c r="A8" s="94">
        <v>40850</v>
      </c>
      <c r="F8" s="42">
        <f t="shared" si="0"/>
        <v>0</v>
      </c>
      <c r="G8" s="45">
        <f t="shared" si="1"/>
        <v>0</v>
      </c>
    </row>
    <row r="9" spans="1:7">
      <c r="A9" s="94">
        <v>40851</v>
      </c>
      <c r="F9" s="42">
        <f t="shared" si="0"/>
        <v>0</v>
      </c>
      <c r="G9" s="45">
        <f t="shared" si="1"/>
        <v>0</v>
      </c>
    </row>
    <row r="10" spans="1:7">
      <c r="A10" s="94">
        <v>40852</v>
      </c>
      <c r="F10" s="42">
        <f t="shared" si="0"/>
        <v>0</v>
      </c>
      <c r="G10" s="45">
        <f t="shared" si="1"/>
        <v>0</v>
      </c>
    </row>
    <row r="11" spans="1:7">
      <c r="A11" s="94">
        <v>40853</v>
      </c>
      <c r="F11" s="42">
        <f t="shared" si="0"/>
        <v>0</v>
      </c>
      <c r="G11" s="45">
        <f t="shared" si="1"/>
        <v>0</v>
      </c>
    </row>
    <row r="12" spans="1:7">
      <c r="A12" s="94">
        <v>40854</v>
      </c>
      <c r="C12">
        <v>-1</v>
      </c>
      <c r="F12" s="42">
        <f t="shared" si="0"/>
        <v>10</v>
      </c>
      <c r="G12" s="45">
        <f t="shared" si="1"/>
        <v>2.5</v>
      </c>
    </row>
    <row r="13" spans="1:7">
      <c r="A13" s="94">
        <v>40855</v>
      </c>
      <c r="F13" s="42">
        <f t="shared" si="0"/>
        <v>0</v>
      </c>
      <c r="G13" s="45">
        <f t="shared" si="1"/>
        <v>0</v>
      </c>
    </row>
    <row r="14" spans="1:7">
      <c r="A14" s="94">
        <v>40856</v>
      </c>
      <c r="F14" s="42">
        <f t="shared" si="0"/>
        <v>0</v>
      </c>
      <c r="G14" s="45">
        <f t="shared" si="1"/>
        <v>0</v>
      </c>
    </row>
    <row r="15" spans="1:7">
      <c r="A15" s="94">
        <v>40857</v>
      </c>
      <c r="F15" s="42">
        <f t="shared" si="0"/>
        <v>0</v>
      </c>
      <c r="G15" s="45">
        <f t="shared" si="1"/>
        <v>0</v>
      </c>
    </row>
    <row r="16" spans="1:7">
      <c r="A16" s="94">
        <v>40858</v>
      </c>
      <c r="F16" s="42">
        <f t="shared" si="0"/>
        <v>0</v>
      </c>
      <c r="G16" s="45">
        <f t="shared" si="1"/>
        <v>0</v>
      </c>
    </row>
    <row r="17" spans="1:7">
      <c r="A17" s="94">
        <v>40859</v>
      </c>
      <c r="C17">
        <v>-2</v>
      </c>
      <c r="F17" s="42">
        <f t="shared" si="0"/>
        <v>20</v>
      </c>
      <c r="G17" s="45">
        <f t="shared" si="1"/>
        <v>5</v>
      </c>
    </row>
    <row r="18" spans="1:7">
      <c r="A18" s="94">
        <v>40860</v>
      </c>
      <c r="F18" s="42">
        <f t="shared" si="0"/>
        <v>0</v>
      </c>
      <c r="G18" s="45">
        <f t="shared" si="1"/>
        <v>0</v>
      </c>
    </row>
    <row r="19" spans="1:7">
      <c r="A19" s="94">
        <v>40861</v>
      </c>
      <c r="F19" s="42">
        <f t="shared" si="0"/>
        <v>0</v>
      </c>
      <c r="G19" s="45">
        <f t="shared" si="1"/>
        <v>0</v>
      </c>
    </row>
    <row r="20" spans="1:7">
      <c r="A20" s="94">
        <v>40862</v>
      </c>
      <c r="F20" s="42">
        <f t="shared" si="0"/>
        <v>0</v>
      </c>
      <c r="G20" s="45">
        <f t="shared" si="1"/>
        <v>0</v>
      </c>
    </row>
    <row r="21" spans="1:7">
      <c r="A21" s="94">
        <v>40863</v>
      </c>
      <c r="F21" s="42">
        <f t="shared" si="0"/>
        <v>0</v>
      </c>
      <c r="G21" s="45">
        <f t="shared" si="1"/>
        <v>0</v>
      </c>
    </row>
    <row r="22" spans="1:7">
      <c r="A22" s="94">
        <v>40864</v>
      </c>
      <c r="F22" s="42">
        <f t="shared" si="0"/>
        <v>0</v>
      </c>
      <c r="G22" s="45">
        <f t="shared" si="1"/>
        <v>0</v>
      </c>
    </row>
    <row r="23" spans="1:7">
      <c r="A23" s="94">
        <v>40865</v>
      </c>
      <c r="F23" s="42">
        <f t="shared" si="0"/>
        <v>0</v>
      </c>
      <c r="G23" s="45">
        <f t="shared" si="1"/>
        <v>0</v>
      </c>
    </row>
    <row r="24" spans="1:7">
      <c r="A24" s="94">
        <v>40866</v>
      </c>
      <c r="F24" s="42">
        <f t="shared" si="0"/>
        <v>0</v>
      </c>
      <c r="G24" s="45">
        <f t="shared" si="1"/>
        <v>0</v>
      </c>
    </row>
    <row r="25" spans="1:7">
      <c r="A25" s="94">
        <v>40867</v>
      </c>
      <c r="F25" s="42">
        <f>-((C$2*C25)+(D$2*D25))</f>
        <v>0</v>
      </c>
      <c r="G25" s="45">
        <f t="shared" si="1"/>
        <v>0</v>
      </c>
    </row>
    <row r="26" spans="1:7">
      <c r="A26" s="94">
        <v>40868</v>
      </c>
      <c r="F26" s="42">
        <f>-((C$2*C26)+(D$2*D26))</f>
        <v>0</v>
      </c>
      <c r="G26" s="45">
        <f t="shared" si="1"/>
        <v>0</v>
      </c>
    </row>
    <row r="27" spans="1:7">
      <c r="A27" s="94">
        <v>40869</v>
      </c>
      <c r="F27" s="42">
        <f t="shared" si="0"/>
        <v>0</v>
      </c>
      <c r="G27" s="45">
        <f t="shared" si="1"/>
        <v>0</v>
      </c>
    </row>
    <row r="28" spans="1:7">
      <c r="A28" s="94">
        <v>40870</v>
      </c>
      <c r="F28" s="42">
        <f t="shared" si="0"/>
        <v>0</v>
      </c>
      <c r="G28" s="45">
        <f t="shared" si="1"/>
        <v>0</v>
      </c>
    </row>
    <row r="29" spans="1:7">
      <c r="A29" s="94">
        <v>40871</v>
      </c>
      <c r="F29" s="42">
        <f t="shared" si="0"/>
        <v>0</v>
      </c>
      <c r="G29" s="45">
        <f t="shared" si="1"/>
        <v>0</v>
      </c>
    </row>
    <row r="30" spans="1:7">
      <c r="A30" s="94">
        <v>40872</v>
      </c>
      <c r="F30" s="42">
        <f t="shared" si="0"/>
        <v>0</v>
      </c>
      <c r="G30" s="45">
        <f t="shared" si="1"/>
        <v>0</v>
      </c>
    </row>
    <row r="31" spans="1:7">
      <c r="A31" s="94">
        <v>40873</v>
      </c>
      <c r="F31" s="42">
        <f t="shared" si="0"/>
        <v>0</v>
      </c>
      <c r="G31" s="45">
        <f t="shared" si="1"/>
        <v>0</v>
      </c>
    </row>
    <row r="32" spans="1:7">
      <c r="A32" s="94">
        <v>40874</v>
      </c>
      <c r="F32" s="42">
        <f t="shared" si="0"/>
        <v>0</v>
      </c>
      <c r="G32" s="45">
        <f t="shared" si="1"/>
        <v>0</v>
      </c>
    </row>
    <row r="33" spans="1:7">
      <c r="A33" s="94">
        <v>40875</v>
      </c>
      <c r="F33" s="42">
        <f t="shared" si="0"/>
        <v>0</v>
      </c>
      <c r="G33" s="45">
        <f t="shared" si="1"/>
        <v>0</v>
      </c>
    </row>
    <row r="34" spans="1:7">
      <c r="A34" s="94">
        <v>40876</v>
      </c>
      <c r="F34" s="42">
        <f t="shared" si="0"/>
        <v>0</v>
      </c>
      <c r="G34" s="45">
        <f t="shared" si="1"/>
        <v>0</v>
      </c>
    </row>
    <row r="35" spans="1:7">
      <c r="A35" s="24"/>
    </row>
    <row r="36" spans="1:7">
      <c r="C36">
        <f>SUM(C4:C35)</f>
        <v>5</v>
      </c>
      <c r="D36">
        <f>SUM(D4:D35)</f>
        <v>1</v>
      </c>
      <c r="F36" s="42">
        <f>SUM(F5:F35)</f>
        <v>30</v>
      </c>
      <c r="G36" s="45">
        <f>SUM(G5:G35)</f>
        <v>7.5</v>
      </c>
    </row>
    <row r="37" spans="1:7">
      <c r="G37" s="59">
        <f>G36/F36</f>
        <v>0.25</v>
      </c>
    </row>
    <row r="38" spans="1:7">
      <c r="C38">
        <f>C4-C36</f>
        <v>3</v>
      </c>
      <c r="D38">
        <f>D4-D36</f>
        <v>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38"/>
  <sheetViews>
    <sheetView zoomScale="125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H18" sqref="H18"/>
    </sheetView>
  </sheetViews>
  <sheetFormatPr baseColWidth="10" defaultRowHeight="13"/>
  <cols>
    <col min="1" max="1" width="19.5703125" customWidth="1"/>
    <col min="2" max="2" width="6.42578125" customWidth="1"/>
    <col min="9" max="9" width="11.28515625" customWidth="1"/>
  </cols>
  <sheetData>
    <row r="1" spans="1:11" ht="77">
      <c r="A1" s="90" t="s">
        <v>68</v>
      </c>
      <c r="B1" s="21" t="s">
        <v>28</v>
      </c>
      <c r="C1" s="41" t="s">
        <v>59</v>
      </c>
      <c r="D1" s="41" t="s">
        <v>124</v>
      </c>
      <c r="E1" s="41" t="s">
        <v>125</v>
      </c>
      <c r="F1" s="41" t="s">
        <v>0</v>
      </c>
      <c r="G1" s="41" t="s">
        <v>1</v>
      </c>
      <c r="H1" s="41" t="s">
        <v>2</v>
      </c>
    </row>
    <row r="2" spans="1:11" s="34" customFormat="1" ht="29" customHeight="1">
      <c r="A2" s="35"/>
      <c r="C2" s="34">
        <f>Sheet1!$D156</f>
        <v>7.9</v>
      </c>
      <c r="D2" s="34">
        <f>Sheet1!$D157</f>
        <v>7.9</v>
      </c>
      <c r="E2" s="34">
        <f>Sheet1!$D158</f>
        <v>9.3000000000000007</v>
      </c>
      <c r="F2" s="34">
        <f>Sheet1!$D159</f>
        <v>9.3000000000000007</v>
      </c>
      <c r="G2" s="34">
        <f>Sheet1!$D160</f>
        <v>9.3000000000000007</v>
      </c>
      <c r="H2" s="34">
        <v>10.7</v>
      </c>
    </row>
    <row r="3" spans="1:11" s="34" customFormat="1" ht="29" customHeight="1">
      <c r="A3" s="35"/>
      <c r="C3" s="70">
        <f>Sheet1!$C156</f>
        <v>0.30379746835443039</v>
      </c>
      <c r="D3" s="70">
        <f>Sheet1!$C157</f>
        <v>0.30379746835443039</v>
      </c>
      <c r="E3" s="70">
        <f>Sheet1!$C158</f>
        <v>0.30107526881720437</v>
      </c>
      <c r="F3" s="70">
        <f>Sheet1!$C159</f>
        <v>0.30107526881720437</v>
      </c>
      <c r="G3" s="70">
        <f>Sheet1!$C160</f>
        <v>0.30107526881720437</v>
      </c>
      <c r="H3" s="70">
        <f>Sheet1!$C161</f>
        <v>0.29906542056074764</v>
      </c>
    </row>
    <row r="4" spans="1:11">
      <c r="C4">
        <v>6</v>
      </c>
      <c r="D4">
        <v>6</v>
      </c>
      <c r="E4">
        <v>6</v>
      </c>
      <c r="F4">
        <v>6</v>
      </c>
      <c r="G4">
        <v>6</v>
      </c>
      <c r="H4">
        <v>6</v>
      </c>
    </row>
    <row r="5" spans="1:11" s="50" customFormat="1">
      <c r="A5" s="95">
        <v>40847</v>
      </c>
      <c r="B5" s="48"/>
      <c r="C5" s="49"/>
      <c r="D5" s="49"/>
      <c r="E5" s="49"/>
      <c r="F5" s="49"/>
      <c r="G5" s="49"/>
      <c r="H5" s="49"/>
      <c r="I5" s="92">
        <f>SUM(C5:H5)</f>
        <v>0</v>
      </c>
      <c r="J5" s="49">
        <f>-((C$2*C5)+(D$2*D5)+(E$2*E5)+(F$2*F5)+(G$2*G5)+(H$2*H5))</f>
        <v>0</v>
      </c>
      <c r="K5" s="49">
        <f>-((C$2*C$3*C5)+(D$2*D$3*D5)+(E$2*E$3*E5)+(F$2*F$3*F5)+(G$2*G$3*G5)+(H$2*H$3*H5))</f>
        <v>0</v>
      </c>
    </row>
    <row r="6" spans="1:11" s="54" customFormat="1">
      <c r="A6" s="95">
        <v>40848</v>
      </c>
      <c r="B6" s="52"/>
      <c r="C6" s="52"/>
      <c r="D6" s="52"/>
      <c r="E6" s="52"/>
      <c r="F6" s="52"/>
      <c r="G6" s="52"/>
      <c r="H6" s="52"/>
      <c r="I6" s="92">
        <f t="shared" ref="I6:I21" si="0">SUM(C6:H6)</f>
        <v>0</v>
      </c>
      <c r="J6" s="49">
        <f t="shared" ref="J6:J35" si="1">-((C$2*C6)+(D$2*D6)+(E$2*E6)+(F$2*F6)+(G$2*G6)+(H$2*H6))</f>
        <v>0</v>
      </c>
      <c r="K6" s="49">
        <f t="shared" ref="K6:K35" si="2">-((C$2*C$3*C6)+(D$2*D$3*D6)+(E$2*E$3*E6)+(F$2*F$3*F6)+(G$2*G$3*G6)+(H$2*H$3*H6))</f>
        <v>0</v>
      </c>
    </row>
    <row r="7" spans="1:11" s="50" customFormat="1">
      <c r="A7" s="95">
        <v>40849</v>
      </c>
      <c r="B7" s="48"/>
      <c r="C7" s="48"/>
      <c r="D7" s="48"/>
      <c r="E7" s="48"/>
      <c r="F7" s="48"/>
      <c r="G7" s="48"/>
      <c r="H7" s="48"/>
      <c r="I7" s="92">
        <f t="shared" si="0"/>
        <v>0</v>
      </c>
      <c r="J7" s="49">
        <f t="shared" si="1"/>
        <v>0</v>
      </c>
      <c r="K7" s="49">
        <f t="shared" si="2"/>
        <v>0</v>
      </c>
    </row>
    <row r="8" spans="1:11" s="54" customFormat="1">
      <c r="A8" s="95">
        <v>40850</v>
      </c>
      <c r="B8" s="52"/>
      <c r="C8" s="52"/>
      <c r="D8" s="52"/>
      <c r="E8" s="52"/>
      <c r="F8" s="52"/>
      <c r="G8" s="52"/>
      <c r="H8" s="52"/>
      <c r="I8" s="92">
        <f t="shared" si="0"/>
        <v>0</v>
      </c>
      <c r="J8" s="49">
        <f t="shared" si="1"/>
        <v>0</v>
      </c>
      <c r="K8" s="49">
        <f t="shared" si="2"/>
        <v>0</v>
      </c>
    </row>
    <row r="9" spans="1:11" s="50" customFormat="1">
      <c r="A9" s="95">
        <v>40851</v>
      </c>
      <c r="B9" s="48"/>
      <c r="C9" s="48"/>
      <c r="D9" s="48"/>
      <c r="E9" s="48"/>
      <c r="F9" s="48"/>
      <c r="G9" s="48"/>
      <c r="H9" s="48"/>
      <c r="I9" s="92">
        <f t="shared" si="0"/>
        <v>0</v>
      </c>
      <c r="J9" s="49">
        <f t="shared" si="1"/>
        <v>0</v>
      </c>
      <c r="K9" s="49">
        <f t="shared" si="2"/>
        <v>0</v>
      </c>
    </row>
    <row r="10" spans="1:11" s="54" customFormat="1">
      <c r="A10" s="95">
        <v>40852</v>
      </c>
      <c r="B10" s="52"/>
      <c r="C10" s="52"/>
      <c r="D10" s="52"/>
      <c r="E10" s="52"/>
      <c r="F10" s="52"/>
      <c r="G10" s="52"/>
      <c r="H10" s="52"/>
      <c r="I10" s="92">
        <f t="shared" si="0"/>
        <v>0</v>
      </c>
      <c r="J10" s="49">
        <f t="shared" si="1"/>
        <v>0</v>
      </c>
      <c r="K10" s="49">
        <f t="shared" si="2"/>
        <v>0</v>
      </c>
    </row>
    <row r="11" spans="1:11" s="50" customFormat="1">
      <c r="A11" s="95">
        <v>40853</v>
      </c>
      <c r="B11" s="48"/>
      <c r="C11" s="48"/>
      <c r="D11" s="48"/>
      <c r="E11" s="48"/>
      <c r="F11" s="48"/>
      <c r="G11" s="48"/>
      <c r="H11" s="48"/>
      <c r="I11" s="92">
        <f t="shared" si="0"/>
        <v>0</v>
      </c>
      <c r="J11" s="49">
        <f t="shared" si="1"/>
        <v>0</v>
      </c>
      <c r="K11" s="49">
        <f t="shared" si="2"/>
        <v>0</v>
      </c>
    </row>
    <row r="12" spans="1:11" s="54" customFormat="1">
      <c r="A12" s="95">
        <v>40854</v>
      </c>
      <c r="B12" s="52"/>
      <c r="C12" s="52"/>
      <c r="D12" s="52"/>
      <c r="E12" s="52"/>
      <c r="F12" s="52"/>
      <c r="G12" s="52">
        <v>-1</v>
      </c>
      <c r="H12" s="52">
        <v>-1</v>
      </c>
      <c r="I12" s="92">
        <f t="shared" si="0"/>
        <v>-2</v>
      </c>
      <c r="J12" s="49">
        <f t="shared" si="1"/>
        <v>20</v>
      </c>
      <c r="K12" s="49">
        <f t="shared" si="2"/>
        <v>6</v>
      </c>
    </row>
    <row r="13" spans="1:11" s="50" customFormat="1">
      <c r="A13" s="95">
        <v>40855</v>
      </c>
      <c r="B13" s="48"/>
      <c r="C13" s="48"/>
      <c r="D13" s="48"/>
      <c r="E13" s="48"/>
      <c r="F13" s="48"/>
      <c r="G13" s="48"/>
      <c r="H13" s="48"/>
      <c r="I13" s="92">
        <f t="shared" si="0"/>
        <v>0</v>
      </c>
      <c r="J13" s="49">
        <f t="shared" si="1"/>
        <v>0</v>
      </c>
      <c r="K13" s="49">
        <f t="shared" si="2"/>
        <v>0</v>
      </c>
    </row>
    <row r="14" spans="1:11" s="54" customFormat="1">
      <c r="A14" s="95">
        <v>40856</v>
      </c>
      <c r="B14" s="52"/>
      <c r="C14" s="52"/>
      <c r="D14" s="52"/>
      <c r="E14" s="52"/>
      <c r="F14" s="52"/>
      <c r="G14" s="52"/>
      <c r="H14" s="52"/>
      <c r="I14" s="92">
        <f t="shared" si="0"/>
        <v>0</v>
      </c>
      <c r="J14" s="49">
        <f t="shared" si="1"/>
        <v>0</v>
      </c>
      <c r="K14" s="49">
        <f t="shared" si="2"/>
        <v>0</v>
      </c>
    </row>
    <row r="15" spans="1:11" s="50" customFormat="1">
      <c r="A15" s="95">
        <v>40857</v>
      </c>
      <c r="B15" s="48"/>
      <c r="C15" s="48"/>
      <c r="D15" s="48"/>
      <c r="E15" s="48"/>
      <c r="F15" s="48"/>
      <c r="G15" s="48"/>
      <c r="H15" s="48"/>
      <c r="I15" s="92">
        <f t="shared" si="0"/>
        <v>0</v>
      </c>
      <c r="J15" s="49">
        <f t="shared" si="1"/>
        <v>0</v>
      </c>
      <c r="K15" s="49">
        <f t="shared" si="2"/>
        <v>0</v>
      </c>
    </row>
    <row r="16" spans="1:11" s="54" customFormat="1">
      <c r="A16" s="95">
        <v>40858</v>
      </c>
      <c r="B16" s="52"/>
      <c r="C16" s="52"/>
      <c r="D16" s="52"/>
      <c r="E16" s="52"/>
      <c r="F16" s="52"/>
      <c r="G16" s="52"/>
      <c r="H16" s="52"/>
      <c r="I16" s="92">
        <f t="shared" si="0"/>
        <v>0</v>
      </c>
      <c r="J16" s="49">
        <f t="shared" si="1"/>
        <v>0</v>
      </c>
      <c r="K16" s="49">
        <f t="shared" si="2"/>
        <v>0</v>
      </c>
    </row>
    <row r="17" spans="1:11" s="50" customFormat="1">
      <c r="A17" s="95">
        <v>40859</v>
      </c>
      <c r="B17" s="48"/>
      <c r="C17" s="48"/>
      <c r="D17" s="48"/>
      <c r="E17" s="48"/>
      <c r="F17" s="48">
        <v>-1</v>
      </c>
      <c r="G17" s="48"/>
      <c r="H17" s="48">
        <v>-1</v>
      </c>
      <c r="I17" s="92">
        <f t="shared" si="0"/>
        <v>-2</v>
      </c>
      <c r="J17" s="49">
        <f t="shared" si="1"/>
        <v>20</v>
      </c>
      <c r="K17" s="49">
        <f t="shared" si="2"/>
        <v>6</v>
      </c>
    </row>
    <row r="18" spans="1:11" s="54" customFormat="1">
      <c r="A18" s="95">
        <v>40860</v>
      </c>
      <c r="B18" s="52"/>
      <c r="C18" s="52"/>
      <c r="D18" s="52"/>
      <c r="E18" s="52"/>
      <c r="F18" s="52"/>
      <c r="G18" s="52"/>
      <c r="H18" s="52"/>
      <c r="I18" s="92">
        <f t="shared" si="0"/>
        <v>0</v>
      </c>
      <c r="J18" s="49">
        <f t="shared" si="1"/>
        <v>0</v>
      </c>
      <c r="K18" s="49">
        <f t="shared" si="2"/>
        <v>0</v>
      </c>
    </row>
    <row r="19" spans="1:11" s="50" customFormat="1">
      <c r="A19" s="95">
        <v>40861</v>
      </c>
      <c r="B19" s="48"/>
      <c r="C19" s="48"/>
      <c r="D19" s="48"/>
      <c r="E19" s="48"/>
      <c r="F19" s="48"/>
      <c r="G19" s="48"/>
      <c r="H19" s="48"/>
      <c r="I19" s="92">
        <f t="shared" si="0"/>
        <v>0</v>
      </c>
      <c r="J19" s="49">
        <f t="shared" si="1"/>
        <v>0</v>
      </c>
      <c r="K19" s="49">
        <f t="shared" si="2"/>
        <v>0</v>
      </c>
    </row>
    <row r="20" spans="1:11" s="54" customFormat="1">
      <c r="A20" s="95">
        <v>40862</v>
      </c>
      <c r="B20" s="52"/>
      <c r="C20" s="52"/>
      <c r="D20" s="52"/>
      <c r="E20" s="52"/>
      <c r="F20" s="52"/>
      <c r="G20" s="52"/>
      <c r="H20" s="52"/>
      <c r="I20" s="92">
        <f t="shared" si="0"/>
        <v>0</v>
      </c>
      <c r="J20" s="49">
        <f t="shared" si="1"/>
        <v>0</v>
      </c>
      <c r="K20" s="49">
        <f t="shared" si="2"/>
        <v>0</v>
      </c>
    </row>
    <row r="21" spans="1:11" s="50" customFormat="1">
      <c r="A21" s="95">
        <v>40863</v>
      </c>
      <c r="B21" s="48"/>
      <c r="C21" s="48"/>
      <c r="D21" s="48"/>
      <c r="E21" s="48"/>
      <c r="F21" s="48"/>
      <c r="G21" s="48"/>
      <c r="H21" s="48"/>
      <c r="I21" s="92">
        <f t="shared" si="0"/>
        <v>0</v>
      </c>
      <c r="J21" s="49">
        <f t="shared" si="1"/>
        <v>0</v>
      </c>
      <c r="K21" s="49">
        <f t="shared" si="2"/>
        <v>0</v>
      </c>
    </row>
    <row r="22" spans="1:11" s="54" customFormat="1">
      <c r="A22" s="95">
        <v>40864</v>
      </c>
      <c r="B22" s="52"/>
      <c r="C22" s="52"/>
      <c r="D22" s="52"/>
      <c r="E22" s="52"/>
      <c r="F22" s="52"/>
      <c r="G22" s="52"/>
      <c r="H22" s="52"/>
      <c r="I22" s="92">
        <f>-SUM(C22:H22)</f>
        <v>0</v>
      </c>
      <c r="J22" s="49">
        <f t="shared" si="1"/>
        <v>0</v>
      </c>
      <c r="K22" s="49">
        <f t="shared" si="2"/>
        <v>0</v>
      </c>
    </row>
    <row r="23" spans="1:11" s="50" customFormat="1">
      <c r="A23" s="95">
        <v>40865</v>
      </c>
      <c r="B23" s="48"/>
      <c r="C23" s="48"/>
      <c r="D23" s="48"/>
      <c r="E23" s="48"/>
      <c r="F23" s="48"/>
      <c r="G23" s="48"/>
      <c r="H23" s="48"/>
      <c r="I23" s="92">
        <f t="shared" ref="I23:I35" si="3">-SUM(C23:H23)</f>
        <v>0</v>
      </c>
      <c r="J23" s="49">
        <f t="shared" si="1"/>
        <v>0</v>
      </c>
      <c r="K23" s="49">
        <f t="shared" si="2"/>
        <v>0</v>
      </c>
    </row>
    <row r="24" spans="1:11" s="54" customFormat="1">
      <c r="A24" s="95">
        <v>40866</v>
      </c>
      <c r="B24" s="52"/>
      <c r="C24" s="52"/>
      <c r="D24" s="52"/>
      <c r="E24" s="52"/>
      <c r="F24" s="52"/>
      <c r="G24" s="52"/>
      <c r="H24" s="52"/>
      <c r="I24" s="92">
        <f t="shared" si="3"/>
        <v>0</v>
      </c>
      <c r="J24" s="49">
        <f t="shared" si="1"/>
        <v>0</v>
      </c>
      <c r="K24" s="49">
        <f t="shared" si="2"/>
        <v>0</v>
      </c>
    </row>
    <row r="25" spans="1:11" s="50" customFormat="1">
      <c r="A25" s="95">
        <v>40867</v>
      </c>
      <c r="B25" s="48"/>
      <c r="C25" s="48"/>
      <c r="D25" s="48"/>
      <c r="E25" s="48"/>
      <c r="F25" s="48"/>
      <c r="G25" s="48"/>
      <c r="H25" s="48"/>
      <c r="I25" s="92">
        <f t="shared" si="3"/>
        <v>0</v>
      </c>
      <c r="J25" s="49">
        <f t="shared" si="1"/>
        <v>0</v>
      </c>
      <c r="K25" s="49">
        <f t="shared" si="2"/>
        <v>0</v>
      </c>
    </row>
    <row r="26" spans="1:11" s="54" customFormat="1">
      <c r="A26" s="95">
        <v>40868</v>
      </c>
      <c r="B26" s="52"/>
      <c r="C26" s="52"/>
      <c r="D26" s="52"/>
      <c r="E26" s="52"/>
      <c r="F26" s="52"/>
      <c r="G26" s="52"/>
      <c r="H26" s="52"/>
      <c r="I26" s="92">
        <f t="shared" si="3"/>
        <v>0</v>
      </c>
      <c r="J26" s="49">
        <f t="shared" si="1"/>
        <v>0</v>
      </c>
      <c r="K26" s="49">
        <f t="shared" si="2"/>
        <v>0</v>
      </c>
    </row>
    <row r="27" spans="1:11" s="50" customFormat="1">
      <c r="A27" s="95">
        <v>40869</v>
      </c>
      <c r="B27" s="48"/>
      <c r="C27" s="48"/>
      <c r="D27" s="48"/>
      <c r="E27" s="48"/>
      <c r="F27" s="48"/>
      <c r="G27" s="48"/>
      <c r="H27" s="48"/>
      <c r="I27" s="92">
        <f t="shared" si="3"/>
        <v>0</v>
      </c>
      <c r="J27" s="49">
        <f t="shared" si="1"/>
        <v>0</v>
      </c>
      <c r="K27" s="49">
        <f t="shared" si="2"/>
        <v>0</v>
      </c>
    </row>
    <row r="28" spans="1:11" s="54" customFormat="1">
      <c r="A28" s="95">
        <v>40870</v>
      </c>
      <c r="B28" s="52"/>
      <c r="C28" s="52"/>
      <c r="D28" s="52"/>
      <c r="E28" s="52"/>
      <c r="F28" s="52"/>
      <c r="G28" s="52"/>
      <c r="H28" s="52"/>
      <c r="I28" s="92">
        <f t="shared" si="3"/>
        <v>0</v>
      </c>
      <c r="J28" s="49">
        <f t="shared" si="1"/>
        <v>0</v>
      </c>
      <c r="K28" s="49">
        <f t="shared" si="2"/>
        <v>0</v>
      </c>
    </row>
    <row r="29" spans="1:11" s="50" customFormat="1">
      <c r="A29" s="95">
        <v>40871</v>
      </c>
      <c r="B29" s="48"/>
      <c r="C29" s="48"/>
      <c r="D29" s="48"/>
      <c r="E29" s="48"/>
      <c r="F29" s="48"/>
      <c r="G29" s="48"/>
      <c r="H29" s="48"/>
      <c r="I29" s="92">
        <f t="shared" si="3"/>
        <v>0</v>
      </c>
      <c r="J29" s="49">
        <f t="shared" si="1"/>
        <v>0</v>
      </c>
      <c r="K29" s="49">
        <f t="shared" si="2"/>
        <v>0</v>
      </c>
    </row>
    <row r="30" spans="1:11" s="54" customFormat="1">
      <c r="A30" s="95">
        <v>40872</v>
      </c>
      <c r="B30" s="52"/>
      <c r="C30" s="52"/>
      <c r="D30" s="52"/>
      <c r="E30" s="52"/>
      <c r="F30" s="52"/>
      <c r="G30" s="52"/>
      <c r="H30" s="52"/>
      <c r="I30" s="92">
        <f t="shared" si="3"/>
        <v>0</v>
      </c>
      <c r="J30" s="49">
        <f t="shared" si="1"/>
        <v>0</v>
      </c>
      <c r="K30" s="49">
        <f t="shared" si="2"/>
        <v>0</v>
      </c>
    </row>
    <row r="31" spans="1:11" s="50" customFormat="1">
      <c r="A31" s="95">
        <v>40873</v>
      </c>
      <c r="B31" s="48"/>
      <c r="C31" s="48"/>
      <c r="D31" s="48"/>
      <c r="E31" s="48"/>
      <c r="F31" s="48"/>
      <c r="G31" s="48"/>
      <c r="H31" s="48"/>
      <c r="I31" s="92">
        <f t="shared" si="3"/>
        <v>0</v>
      </c>
      <c r="J31" s="49">
        <f t="shared" si="1"/>
        <v>0</v>
      </c>
      <c r="K31" s="49">
        <f t="shared" si="2"/>
        <v>0</v>
      </c>
    </row>
    <row r="32" spans="1:11" s="54" customFormat="1">
      <c r="A32" s="95">
        <v>40874</v>
      </c>
      <c r="B32" s="52"/>
      <c r="C32" s="52"/>
      <c r="D32" s="52"/>
      <c r="E32" s="52"/>
      <c r="F32" s="52"/>
      <c r="G32" s="52"/>
      <c r="H32" s="52"/>
      <c r="I32" s="92">
        <f t="shared" si="3"/>
        <v>0</v>
      </c>
      <c r="J32" s="49">
        <f t="shared" si="1"/>
        <v>0</v>
      </c>
      <c r="K32" s="49">
        <f t="shared" si="2"/>
        <v>0</v>
      </c>
    </row>
    <row r="33" spans="1:11" s="50" customFormat="1">
      <c r="A33" s="95">
        <v>40875</v>
      </c>
      <c r="B33" s="48"/>
      <c r="C33" s="48"/>
      <c r="D33" s="48"/>
      <c r="E33" s="48"/>
      <c r="F33" s="48"/>
      <c r="G33" s="48"/>
      <c r="H33" s="48"/>
      <c r="I33" s="92">
        <f t="shared" si="3"/>
        <v>0</v>
      </c>
      <c r="J33" s="49">
        <f t="shared" si="1"/>
        <v>0</v>
      </c>
      <c r="K33" s="49">
        <f t="shared" si="2"/>
        <v>0</v>
      </c>
    </row>
    <row r="34" spans="1:11" s="54" customFormat="1">
      <c r="A34" s="95">
        <v>40876</v>
      </c>
      <c r="B34" s="52"/>
      <c r="C34" s="52"/>
      <c r="D34" s="52"/>
      <c r="E34" s="52"/>
      <c r="F34" s="52"/>
      <c r="G34" s="52"/>
      <c r="H34" s="52"/>
      <c r="I34" s="92">
        <f t="shared" si="3"/>
        <v>0</v>
      </c>
      <c r="J34" s="49">
        <f t="shared" si="1"/>
        <v>0</v>
      </c>
      <c r="K34" s="49">
        <f t="shared" si="2"/>
        <v>0</v>
      </c>
    </row>
    <row r="35" spans="1:11" s="50" customFormat="1">
      <c r="A35" s="47"/>
      <c r="B35" s="48"/>
      <c r="C35" s="48"/>
      <c r="D35" s="48"/>
      <c r="E35" s="48"/>
      <c r="F35" s="48"/>
      <c r="G35" s="48"/>
      <c r="H35" s="48"/>
      <c r="I35" s="92">
        <f t="shared" si="3"/>
        <v>0</v>
      </c>
      <c r="J35" s="49">
        <f t="shared" si="1"/>
        <v>0</v>
      </c>
      <c r="K35" s="49">
        <f t="shared" si="2"/>
        <v>0</v>
      </c>
    </row>
    <row r="36" spans="1:11" s="54" customFormat="1">
      <c r="A36" s="52"/>
      <c r="B36" s="52"/>
      <c r="C36" s="52">
        <f t="shared" ref="C36:H36" si="4">SUM(C4:C35)</f>
        <v>6</v>
      </c>
      <c r="D36" s="52">
        <f t="shared" si="4"/>
        <v>6</v>
      </c>
      <c r="E36" s="52">
        <f>SUM(E4:E35)</f>
        <v>6</v>
      </c>
      <c r="F36" s="52">
        <f t="shared" ref="F36:G36" si="5">SUM(F4:F35)</f>
        <v>5</v>
      </c>
      <c r="G36" s="52">
        <f t="shared" si="5"/>
        <v>5</v>
      </c>
      <c r="H36" s="52">
        <f t="shared" si="4"/>
        <v>4</v>
      </c>
      <c r="I36" s="52"/>
      <c r="J36" s="53">
        <f>SUM(J5:J35)</f>
        <v>40</v>
      </c>
      <c r="K36" s="58">
        <f>SUM(K5:K35)</f>
        <v>12</v>
      </c>
    </row>
    <row r="37" spans="1:11">
      <c r="K37" s="87">
        <f>K36/J36</f>
        <v>0.3</v>
      </c>
    </row>
    <row r="38" spans="1:11">
      <c r="C38">
        <f>C4-C36</f>
        <v>0</v>
      </c>
      <c r="D38">
        <f t="shared" ref="D38:H38" si="6">D4-D36</f>
        <v>0</v>
      </c>
      <c r="E38">
        <f t="shared" si="6"/>
        <v>0</v>
      </c>
      <c r="F38">
        <f t="shared" si="6"/>
        <v>1</v>
      </c>
      <c r="G38">
        <f t="shared" si="6"/>
        <v>1</v>
      </c>
      <c r="H38">
        <f t="shared" si="6"/>
        <v>2</v>
      </c>
    </row>
  </sheetData>
  <phoneticPr fontId="6" type="noConversion"/>
  <pageMargins left="0.55314960629921262" right="0.55314960629921262" top="0.80314960629921262" bottom="0.80314960629921262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38"/>
  <sheetViews>
    <sheetView zoomScale="125" workbookViewId="0">
      <pane xSplit="1" ySplit="4" topLeftCell="B19" activePane="bottomRight" state="frozen"/>
      <selection pane="topRight" activeCell="B1" sqref="B1"/>
      <selection pane="bottomLeft" activeCell="A5" sqref="A5"/>
      <selection pane="bottomRight" activeCell="D32" sqref="D32"/>
    </sheetView>
  </sheetViews>
  <sheetFormatPr baseColWidth="10" defaultRowHeight="13"/>
  <cols>
    <col min="1" max="1" width="19.5703125" customWidth="1"/>
    <col min="2" max="2" width="6.42578125" customWidth="1"/>
  </cols>
  <sheetData>
    <row r="1" spans="1:9" ht="77">
      <c r="A1" s="46" t="s">
        <v>68</v>
      </c>
      <c r="B1" s="21" t="s">
        <v>28</v>
      </c>
      <c r="C1" s="41" t="s">
        <v>6</v>
      </c>
      <c r="D1" s="41" t="s">
        <v>133</v>
      </c>
      <c r="E1" s="41" t="s">
        <v>134</v>
      </c>
      <c r="F1" s="41" t="s">
        <v>135</v>
      </c>
    </row>
    <row r="2" spans="1:9" s="34" customFormat="1" ht="29" customHeight="1">
      <c r="A2" s="35"/>
      <c r="C2" s="34">
        <v>3</v>
      </c>
      <c r="D2" s="34">
        <v>3</v>
      </c>
      <c r="E2" s="34">
        <v>3</v>
      </c>
      <c r="F2" s="34">
        <v>3</v>
      </c>
    </row>
    <row r="3" spans="1:9" s="34" customFormat="1" ht="29" customHeight="1">
      <c r="A3" s="35"/>
      <c r="C3" s="56">
        <f>Sheet1!$C$66</f>
        <v>0.6</v>
      </c>
      <c r="D3" s="56">
        <f>Sheet1!$C$67</f>
        <v>0.6</v>
      </c>
      <c r="E3" s="56">
        <f>Sheet1!$C$68</f>
        <v>0.6</v>
      </c>
      <c r="F3" s="56">
        <f>Sheet1!$C$69</f>
        <v>0.6</v>
      </c>
    </row>
    <row r="4" spans="1:9">
      <c r="C4">
        <v>3</v>
      </c>
      <c r="D4">
        <v>4</v>
      </c>
      <c r="E4">
        <v>6</v>
      </c>
      <c r="F4">
        <v>2</v>
      </c>
    </row>
    <row r="5" spans="1:9" s="50" customFormat="1">
      <c r="A5" s="95">
        <v>40847</v>
      </c>
      <c r="B5" s="48"/>
      <c r="C5" s="48"/>
      <c r="D5" s="48"/>
      <c r="E5" s="48"/>
      <c r="F5" s="48"/>
      <c r="G5" s="48"/>
      <c r="H5" s="49">
        <f>-((C$2*C5)+(D$2*D5)+(E$2*E5)+(F$2*F5))</f>
        <v>0</v>
      </c>
      <c r="I5" s="49">
        <f>-((C$2*C$3*C5)+(D$2*D$3*D5)+(E$2*E$3*E5)+(F$2*F$3*F5))</f>
        <v>0</v>
      </c>
    </row>
    <row r="6" spans="1:9" s="54" customFormat="1">
      <c r="A6" s="95">
        <v>40848</v>
      </c>
      <c r="B6" s="52"/>
      <c r="C6" s="52"/>
      <c r="D6" s="52"/>
      <c r="E6" s="52"/>
      <c r="F6" s="52"/>
      <c r="G6" s="52"/>
      <c r="H6" s="53">
        <f t="shared" ref="H6:H35" si="0">-((C$2*C6)+(D$2*D6)+(E$2*E6)+(F$2*F6))</f>
        <v>0</v>
      </c>
      <c r="I6" s="53">
        <f t="shared" ref="I6:I35" si="1">-((C$2*C$3*C6)+(D$2*D$3*D6)+(E$2*E$3*E6)+(F$2*F$3*F6))</f>
        <v>0</v>
      </c>
    </row>
    <row r="7" spans="1:9" s="50" customFormat="1">
      <c r="A7" s="95">
        <v>40849</v>
      </c>
      <c r="B7" s="48"/>
      <c r="C7" s="48"/>
      <c r="D7" s="48"/>
      <c r="E7" s="48"/>
      <c r="F7" s="48"/>
      <c r="G7" s="48"/>
      <c r="H7" s="49">
        <f>-((C$2*C7)+(D$2*D7)+(E$2*E7)+(F$2*F7))</f>
        <v>0</v>
      </c>
      <c r="I7" s="49">
        <f t="shared" si="1"/>
        <v>0</v>
      </c>
    </row>
    <row r="8" spans="1:9" s="54" customFormat="1">
      <c r="A8" s="95">
        <v>40850</v>
      </c>
      <c r="B8" s="52"/>
      <c r="C8" s="52"/>
      <c r="D8" s="52"/>
      <c r="E8" s="52"/>
      <c r="F8" s="52"/>
      <c r="G8" s="52"/>
      <c r="H8" s="53">
        <f t="shared" si="0"/>
        <v>0</v>
      </c>
      <c r="I8" s="53">
        <f>-((C$2*C$3*C8)+(D$2*D$3*D8)+(E$2*E$3*E8)+(F$2*F$3*F8))</f>
        <v>0</v>
      </c>
    </row>
    <row r="9" spans="1:9" s="50" customFormat="1">
      <c r="A9" s="95">
        <v>40851</v>
      </c>
      <c r="B9" s="48"/>
      <c r="C9" s="48"/>
      <c r="D9" s="48"/>
      <c r="E9" s="48"/>
      <c r="F9" s="48"/>
      <c r="G9" s="48"/>
      <c r="H9" s="49">
        <f t="shared" si="0"/>
        <v>0</v>
      </c>
      <c r="I9" s="49">
        <f t="shared" si="1"/>
        <v>0</v>
      </c>
    </row>
    <row r="10" spans="1:9" s="54" customFormat="1">
      <c r="A10" s="95">
        <v>40852</v>
      </c>
      <c r="B10" s="52"/>
      <c r="C10" s="52"/>
      <c r="D10" s="52"/>
      <c r="E10" s="52"/>
      <c r="F10" s="52"/>
      <c r="G10" s="52"/>
      <c r="H10" s="53">
        <f t="shared" si="0"/>
        <v>0</v>
      </c>
      <c r="I10" s="53">
        <f t="shared" si="1"/>
        <v>0</v>
      </c>
    </row>
    <row r="11" spans="1:9" s="50" customFormat="1">
      <c r="A11" s="95">
        <v>40853</v>
      </c>
      <c r="B11" s="48"/>
      <c r="C11" s="48"/>
      <c r="D11" s="48"/>
      <c r="E11" s="48"/>
      <c r="F11" s="48"/>
      <c r="G11" s="48"/>
      <c r="H11" s="49">
        <f t="shared" si="0"/>
        <v>0</v>
      </c>
      <c r="I11" s="49">
        <f t="shared" si="1"/>
        <v>0</v>
      </c>
    </row>
    <row r="12" spans="1:9" s="54" customFormat="1">
      <c r="A12" s="95">
        <v>40854</v>
      </c>
      <c r="B12" s="52"/>
      <c r="C12" s="52">
        <v>-1</v>
      </c>
      <c r="D12" s="52"/>
      <c r="E12" s="52"/>
      <c r="F12" s="52"/>
      <c r="G12" s="52"/>
      <c r="H12" s="53">
        <f t="shared" si="0"/>
        <v>3</v>
      </c>
      <c r="I12" s="53">
        <f t="shared" si="1"/>
        <v>1.7999999999999998</v>
      </c>
    </row>
    <row r="13" spans="1:9" s="50" customFormat="1">
      <c r="A13" s="95">
        <v>40855</v>
      </c>
      <c r="B13" s="48"/>
      <c r="C13" s="48"/>
      <c r="D13" s="48"/>
      <c r="E13" s="48"/>
      <c r="F13" s="48"/>
      <c r="G13" s="48"/>
      <c r="H13" s="49">
        <f t="shared" si="0"/>
        <v>0</v>
      </c>
      <c r="I13" s="49">
        <f t="shared" si="1"/>
        <v>0</v>
      </c>
    </row>
    <row r="14" spans="1:9" s="54" customFormat="1">
      <c r="A14" s="95">
        <v>40856</v>
      </c>
      <c r="B14" s="52"/>
      <c r="C14" s="52"/>
      <c r="D14" s="52"/>
      <c r="E14" s="52"/>
      <c r="F14" s="52"/>
      <c r="G14" s="52"/>
      <c r="H14" s="53">
        <f t="shared" si="0"/>
        <v>0</v>
      </c>
      <c r="I14" s="53">
        <f t="shared" si="1"/>
        <v>0</v>
      </c>
    </row>
    <row r="15" spans="1:9" s="50" customFormat="1">
      <c r="A15" s="95">
        <v>40857</v>
      </c>
      <c r="B15" s="48"/>
      <c r="C15" s="48"/>
      <c r="D15" s="48"/>
      <c r="E15" s="48"/>
      <c r="F15" s="48"/>
      <c r="G15" s="48"/>
      <c r="H15" s="49">
        <f t="shared" si="0"/>
        <v>0</v>
      </c>
      <c r="I15" s="49">
        <f t="shared" si="1"/>
        <v>0</v>
      </c>
    </row>
    <row r="16" spans="1:9" s="54" customFormat="1">
      <c r="A16" s="95">
        <v>40858</v>
      </c>
      <c r="B16" s="52"/>
      <c r="C16" s="52"/>
      <c r="D16" s="52"/>
      <c r="E16" s="52"/>
      <c r="F16" s="52"/>
      <c r="G16" s="52"/>
      <c r="H16" s="53">
        <f t="shared" si="0"/>
        <v>0</v>
      </c>
      <c r="I16" s="53">
        <f t="shared" si="1"/>
        <v>0</v>
      </c>
    </row>
    <row r="17" spans="1:9" s="50" customFormat="1">
      <c r="A17" s="95">
        <v>40859</v>
      </c>
      <c r="B17" s="48"/>
      <c r="C17" s="48"/>
      <c r="D17" s="48"/>
      <c r="E17" s="48">
        <v>-1</v>
      </c>
      <c r="F17" s="48"/>
      <c r="G17" s="48"/>
      <c r="H17" s="49">
        <f t="shared" si="0"/>
        <v>3</v>
      </c>
      <c r="I17" s="49">
        <f t="shared" si="1"/>
        <v>1.7999999999999998</v>
      </c>
    </row>
    <row r="18" spans="1:9" s="54" customFormat="1">
      <c r="A18" s="95">
        <v>40860</v>
      </c>
      <c r="B18" s="52"/>
      <c r="C18" s="52"/>
      <c r="D18" s="52"/>
      <c r="E18" s="52"/>
      <c r="F18" s="52"/>
      <c r="G18" s="52"/>
      <c r="H18" s="53">
        <f t="shared" si="0"/>
        <v>0</v>
      </c>
      <c r="I18" s="53">
        <f t="shared" si="1"/>
        <v>0</v>
      </c>
    </row>
    <row r="19" spans="1:9" s="50" customFormat="1">
      <c r="A19" s="95">
        <v>40861</v>
      </c>
      <c r="B19" s="48"/>
      <c r="C19" s="48"/>
      <c r="D19" s="48"/>
      <c r="E19" s="48"/>
      <c r="F19" s="48"/>
      <c r="G19" s="48"/>
      <c r="H19" s="49">
        <f t="shared" si="0"/>
        <v>0</v>
      </c>
      <c r="I19" s="49">
        <f t="shared" si="1"/>
        <v>0</v>
      </c>
    </row>
    <row r="20" spans="1:9" s="54" customFormat="1">
      <c r="A20" s="95">
        <v>40862</v>
      </c>
      <c r="B20" s="52"/>
      <c r="C20" s="52"/>
      <c r="D20" s="52"/>
      <c r="E20" s="52"/>
      <c r="F20" s="52"/>
      <c r="G20" s="52"/>
      <c r="H20" s="53">
        <f t="shared" si="0"/>
        <v>0</v>
      </c>
      <c r="I20" s="53">
        <f t="shared" si="1"/>
        <v>0</v>
      </c>
    </row>
    <row r="21" spans="1:9" s="50" customFormat="1">
      <c r="A21" s="95">
        <v>40863</v>
      </c>
      <c r="B21" s="48"/>
      <c r="C21" s="48"/>
      <c r="D21" s="48"/>
      <c r="E21" s="48"/>
      <c r="F21" s="48"/>
      <c r="G21" s="48"/>
      <c r="H21" s="49">
        <f t="shared" si="0"/>
        <v>0</v>
      </c>
      <c r="I21" s="49">
        <f t="shared" si="1"/>
        <v>0</v>
      </c>
    </row>
    <row r="22" spans="1:9" s="54" customFormat="1">
      <c r="A22" s="95">
        <v>40864</v>
      </c>
      <c r="B22" s="52"/>
      <c r="C22" s="52"/>
      <c r="D22" s="52"/>
      <c r="E22" s="52"/>
      <c r="F22" s="52"/>
      <c r="G22" s="52"/>
      <c r="H22" s="53">
        <f t="shared" si="0"/>
        <v>0</v>
      </c>
      <c r="I22" s="53">
        <f t="shared" si="1"/>
        <v>0</v>
      </c>
    </row>
    <row r="23" spans="1:9" s="50" customFormat="1">
      <c r="A23" s="95">
        <v>40865</v>
      </c>
      <c r="B23" s="48"/>
      <c r="C23" s="48"/>
      <c r="D23" s="48"/>
      <c r="E23" s="48"/>
      <c r="F23" s="48"/>
      <c r="G23" s="48"/>
      <c r="H23" s="49">
        <f t="shared" si="0"/>
        <v>0</v>
      </c>
      <c r="I23" s="49">
        <f t="shared" si="1"/>
        <v>0</v>
      </c>
    </row>
    <row r="24" spans="1:9" s="54" customFormat="1">
      <c r="A24" s="95">
        <v>40866</v>
      </c>
      <c r="B24" s="52"/>
      <c r="C24" s="52"/>
      <c r="D24" s="52"/>
      <c r="E24" s="52"/>
      <c r="F24" s="52"/>
      <c r="G24" s="52"/>
      <c r="H24" s="53">
        <f t="shared" si="0"/>
        <v>0</v>
      </c>
      <c r="I24" s="53">
        <f t="shared" si="1"/>
        <v>0</v>
      </c>
    </row>
    <row r="25" spans="1:9" s="50" customFormat="1">
      <c r="A25" s="95">
        <v>40867</v>
      </c>
      <c r="B25" s="48"/>
      <c r="C25" s="48"/>
      <c r="D25" s="48"/>
      <c r="E25" s="48"/>
      <c r="F25" s="48"/>
      <c r="G25" s="48"/>
      <c r="H25" s="49">
        <f t="shared" si="0"/>
        <v>0</v>
      </c>
      <c r="I25" s="49">
        <f t="shared" si="1"/>
        <v>0</v>
      </c>
    </row>
    <row r="26" spans="1:9" s="54" customFormat="1">
      <c r="A26" s="95">
        <v>40868</v>
      </c>
      <c r="B26" s="52"/>
      <c r="C26" s="52"/>
      <c r="D26" s="52"/>
      <c r="E26" s="52"/>
      <c r="F26" s="52"/>
      <c r="G26" s="52"/>
      <c r="H26" s="53">
        <f t="shared" si="0"/>
        <v>0</v>
      </c>
      <c r="I26" s="53">
        <f t="shared" si="1"/>
        <v>0</v>
      </c>
    </row>
    <row r="27" spans="1:9" s="50" customFormat="1">
      <c r="A27" s="95">
        <v>40869</v>
      </c>
      <c r="B27" s="48"/>
      <c r="C27" s="48"/>
      <c r="D27" s="48"/>
      <c r="E27" s="48"/>
      <c r="F27" s="48"/>
      <c r="G27" s="48"/>
      <c r="H27" s="49">
        <f t="shared" si="0"/>
        <v>0</v>
      </c>
      <c r="I27" s="49">
        <f t="shared" si="1"/>
        <v>0</v>
      </c>
    </row>
    <row r="28" spans="1:9" s="54" customFormat="1">
      <c r="A28" s="95">
        <v>40870</v>
      </c>
      <c r="B28" s="52"/>
      <c r="C28" s="52"/>
      <c r="D28" s="52"/>
      <c r="E28" s="52"/>
      <c r="F28" s="52"/>
      <c r="G28" s="52"/>
      <c r="H28" s="53">
        <f t="shared" si="0"/>
        <v>0</v>
      </c>
      <c r="I28" s="53">
        <f t="shared" si="1"/>
        <v>0</v>
      </c>
    </row>
    <row r="29" spans="1:9" s="50" customFormat="1">
      <c r="A29" s="95">
        <v>40871</v>
      </c>
      <c r="B29" s="48"/>
      <c r="C29" s="48"/>
      <c r="D29" s="48"/>
      <c r="E29" s="48"/>
      <c r="F29" s="48"/>
      <c r="G29" s="48"/>
      <c r="H29" s="49">
        <f t="shared" si="0"/>
        <v>0</v>
      </c>
      <c r="I29" s="49">
        <f t="shared" si="1"/>
        <v>0</v>
      </c>
    </row>
    <row r="30" spans="1:9" s="54" customFormat="1">
      <c r="A30" s="95">
        <v>40872</v>
      </c>
      <c r="B30" s="52"/>
      <c r="C30" s="52"/>
      <c r="D30" s="52"/>
      <c r="E30" s="52"/>
      <c r="F30" s="52"/>
      <c r="G30" s="52"/>
      <c r="H30" s="53">
        <f t="shared" si="0"/>
        <v>0</v>
      </c>
      <c r="I30" s="53">
        <f t="shared" si="1"/>
        <v>0</v>
      </c>
    </row>
    <row r="31" spans="1:9" s="50" customFormat="1">
      <c r="A31" s="95">
        <v>40873</v>
      </c>
      <c r="B31" s="48"/>
      <c r="C31" s="48"/>
      <c r="D31" s="48"/>
      <c r="E31" s="48"/>
      <c r="F31" s="48"/>
      <c r="G31" s="48"/>
      <c r="H31" s="49">
        <f t="shared" si="0"/>
        <v>0</v>
      </c>
      <c r="I31" s="49">
        <f t="shared" si="1"/>
        <v>0</v>
      </c>
    </row>
    <row r="32" spans="1:9" s="54" customFormat="1">
      <c r="A32" s="95">
        <v>40874</v>
      </c>
      <c r="B32" s="52"/>
      <c r="C32" s="52">
        <v>-1</v>
      </c>
      <c r="D32" s="52"/>
      <c r="E32" s="52"/>
      <c r="F32" s="52"/>
      <c r="G32" s="52"/>
      <c r="H32" s="53">
        <f t="shared" si="0"/>
        <v>3</v>
      </c>
      <c r="I32" s="53">
        <f t="shared" si="1"/>
        <v>1.7999999999999998</v>
      </c>
    </row>
    <row r="33" spans="1:9" s="50" customFormat="1">
      <c r="A33" s="95">
        <v>40875</v>
      </c>
      <c r="B33" s="48"/>
      <c r="C33" s="48"/>
      <c r="D33" s="48"/>
      <c r="E33" s="48"/>
      <c r="F33" s="48"/>
      <c r="G33" s="48"/>
      <c r="H33" s="49">
        <f t="shared" si="0"/>
        <v>0</v>
      </c>
      <c r="I33" s="49">
        <f t="shared" si="1"/>
        <v>0</v>
      </c>
    </row>
    <row r="34" spans="1:9" s="54" customFormat="1">
      <c r="A34" s="95">
        <v>40876</v>
      </c>
      <c r="B34" s="52"/>
      <c r="C34" s="52"/>
      <c r="D34" s="52"/>
      <c r="E34" s="52"/>
      <c r="F34" s="52"/>
      <c r="G34" s="52"/>
      <c r="H34" s="53">
        <f t="shared" si="0"/>
        <v>0</v>
      </c>
      <c r="I34" s="53">
        <f t="shared" si="1"/>
        <v>0</v>
      </c>
    </row>
    <row r="35" spans="1:9" s="50" customFormat="1">
      <c r="A35" s="47"/>
      <c r="B35" s="48"/>
      <c r="C35" s="48"/>
      <c r="D35" s="48"/>
      <c r="E35" s="48"/>
      <c r="F35" s="48"/>
      <c r="G35" s="48"/>
      <c r="H35" s="49">
        <f t="shared" si="0"/>
        <v>0</v>
      </c>
      <c r="I35" s="49">
        <f t="shared" si="1"/>
        <v>0</v>
      </c>
    </row>
    <row r="36" spans="1:9" s="54" customFormat="1">
      <c r="A36" s="52"/>
      <c r="B36" s="52"/>
      <c r="C36" s="52">
        <f t="shared" ref="C36:F36" si="2">SUM(C4:C35)</f>
        <v>1</v>
      </c>
      <c r="D36" s="52">
        <f t="shared" si="2"/>
        <v>4</v>
      </c>
      <c r="E36" s="52">
        <f t="shared" si="2"/>
        <v>5</v>
      </c>
      <c r="F36" s="52">
        <f t="shared" si="2"/>
        <v>2</v>
      </c>
      <c r="G36" s="52"/>
      <c r="H36" s="53">
        <f>SUM(H5:H35)</f>
        <v>9</v>
      </c>
      <c r="I36" s="58">
        <f>SUM(I5:I35)</f>
        <v>5.3999999999999995</v>
      </c>
    </row>
    <row r="37" spans="1:9">
      <c r="I37" s="59">
        <f>I36/H36</f>
        <v>0.6</v>
      </c>
    </row>
    <row r="38" spans="1:9">
      <c r="C38">
        <f>C4-C36</f>
        <v>2</v>
      </c>
      <c r="D38">
        <f t="shared" ref="D38:F38" si="3">D4-D36</f>
        <v>0</v>
      </c>
      <c r="E38">
        <f t="shared" si="3"/>
        <v>1</v>
      </c>
      <c r="F38">
        <f t="shared" si="3"/>
        <v>0</v>
      </c>
    </row>
  </sheetData>
  <phoneticPr fontId="6" type="noConversion"/>
  <pageMargins left="0.55314960629921262" right="0.55314960629921262" top="0.80314960629921262" bottom="0.80314960629921262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Sheet1</vt:lpstr>
      <vt:lpstr>marchés</vt:lpstr>
      <vt:lpstr>cachet</vt:lpstr>
      <vt:lpstr>ROA</vt:lpstr>
      <vt:lpstr>Tetart</vt:lpstr>
      <vt:lpstr>LHEA</vt:lpstr>
      <vt:lpstr>tack</vt:lpstr>
      <vt:lpstr>Miels</vt:lpstr>
      <vt:lpstr>sirops</vt:lpstr>
      <vt:lpstr>infuseurs</vt:lpstr>
      <vt:lpstr>thes</vt:lpstr>
      <vt:lpstr>epices</vt:lpstr>
      <vt:lpstr>Aimants</vt:lpstr>
      <vt:lpstr>ainesse</vt:lpstr>
      <vt:lpstr>Cretolive</vt:lpstr>
      <vt:lpstr>Croutet</vt:lpstr>
      <vt:lpstr>Bart VD</vt:lpstr>
      <vt:lpstr>Hilary SdT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Carchon</dc:creator>
  <cp:lastModifiedBy>Eric Carchon</cp:lastModifiedBy>
  <cp:lastPrinted>2015-09-27T21:39:14Z</cp:lastPrinted>
  <dcterms:created xsi:type="dcterms:W3CDTF">2014-02-20T19:34:12Z</dcterms:created>
  <dcterms:modified xsi:type="dcterms:W3CDTF">2015-11-29T19:24:44Z</dcterms:modified>
</cp:coreProperties>
</file>